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600" windowWidth="15480" windowHeight="11160" activeTab="2"/>
  </bookViews>
  <sheets>
    <sheet name="Приложение 1" sheetId="6" r:id="rId1"/>
    <sheet name="Приложение 2" sheetId="3" r:id="rId2"/>
    <sheet name="Приложение 3" sheetId="7" r:id="rId3"/>
  </sheets>
  <definedNames>
    <definedName name="_xlnm._FilterDatabase" localSheetId="0" hidden="1">'Приложение 1'!$A$1:$X$210</definedName>
    <definedName name="_xlnm.Print_Titles" localSheetId="1">'Приложение 2'!$3:$4</definedName>
    <definedName name="_xlnm.Print_Area" localSheetId="1">'Приложение 2'!$A$1:$I$59</definedName>
  </definedNames>
  <calcPr calcId="144525"/>
</workbook>
</file>

<file path=xl/calcChain.xml><?xml version="1.0" encoding="utf-8"?>
<calcChain xmlns="http://schemas.openxmlformats.org/spreadsheetml/2006/main">
  <c r="I221" i="6" l="1"/>
  <c r="M166" i="6" l="1"/>
  <c r="L166" i="6"/>
  <c r="K166" i="6"/>
  <c r="J166" i="6"/>
  <c r="H166" i="6"/>
  <c r="G166" i="6"/>
  <c r="F166" i="6"/>
  <c r="E166" i="6"/>
  <c r="R165" i="6"/>
  <c r="Q165" i="6"/>
  <c r="P165" i="6"/>
  <c r="O165" i="6"/>
  <c r="I165" i="6"/>
  <c r="D165" i="6"/>
  <c r="R164" i="6"/>
  <c r="Q164" i="6"/>
  <c r="P164" i="6"/>
  <c r="O164" i="6"/>
  <c r="I164" i="6"/>
  <c r="D164" i="6"/>
  <c r="R163" i="6"/>
  <c r="Q163" i="6"/>
  <c r="P163" i="6"/>
  <c r="O163" i="6"/>
  <c r="I163" i="6"/>
  <c r="I166" i="6" s="1"/>
  <c r="D163" i="6"/>
  <c r="H43" i="3"/>
  <c r="G43" i="3"/>
  <c r="D166" i="6" l="1"/>
  <c r="W166" i="6"/>
  <c r="Q166" i="6"/>
  <c r="S165" i="6"/>
  <c r="S164" i="6"/>
  <c r="O166" i="6"/>
  <c r="S166" i="6"/>
  <c r="N166" i="6"/>
  <c r="N163" i="6"/>
  <c r="N164" i="6"/>
  <c r="N165" i="6"/>
  <c r="P166" i="6"/>
  <c r="R166" i="6"/>
  <c r="D162" i="6" l="1"/>
  <c r="L162" i="6" l="1"/>
  <c r="M158" i="6"/>
  <c r="L158" i="6"/>
  <c r="K158" i="6"/>
  <c r="J158" i="6"/>
  <c r="H158" i="6"/>
  <c r="G158" i="6"/>
  <c r="F158" i="6"/>
  <c r="E158" i="6"/>
  <c r="W157" i="6"/>
  <c r="V157" i="6"/>
  <c r="U157" i="6"/>
  <c r="T157" i="6"/>
  <c r="R157" i="6"/>
  <c r="Q157" i="6"/>
  <c r="P157" i="6"/>
  <c r="O157" i="6"/>
  <c r="I157" i="6"/>
  <c r="S157" i="6" s="1"/>
  <c r="D157" i="6"/>
  <c r="W156" i="6"/>
  <c r="V156" i="6"/>
  <c r="U156" i="6"/>
  <c r="R156" i="6"/>
  <c r="Q156" i="6"/>
  <c r="P156" i="6"/>
  <c r="O156" i="6"/>
  <c r="I156" i="6"/>
  <c r="D156" i="6"/>
  <c r="W155" i="6"/>
  <c r="V155" i="6"/>
  <c r="U155" i="6"/>
  <c r="R155" i="6"/>
  <c r="Q155" i="6"/>
  <c r="P155" i="6"/>
  <c r="O155" i="6"/>
  <c r="I155" i="6"/>
  <c r="I158" i="6" s="1"/>
  <c r="D155" i="6"/>
  <c r="W158" i="6" l="1"/>
  <c r="Q158" i="6"/>
  <c r="D158" i="6"/>
  <c r="N158" i="6" s="1"/>
  <c r="U158" i="6"/>
  <c r="O158" i="6"/>
  <c r="S158" i="6"/>
  <c r="N155" i="6"/>
  <c r="N156" i="6"/>
  <c r="N157" i="6"/>
  <c r="P158" i="6"/>
  <c r="R158" i="6"/>
  <c r="T158" i="6"/>
  <c r="V158" i="6"/>
  <c r="H41" i="3" l="1"/>
  <c r="G41" i="3"/>
  <c r="D41" i="3"/>
  <c r="G113" i="7"/>
  <c r="D173" i="6" l="1"/>
  <c r="D174" i="6"/>
  <c r="J173" i="6"/>
  <c r="R172" i="6"/>
  <c r="O173" i="6"/>
  <c r="P173" i="6"/>
  <c r="Q173" i="6"/>
  <c r="R173" i="6"/>
  <c r="M186" i="6"/>
  <c r="L186" i="6"/>
  <c r="K186" i="6"/>
  <c r="J186" i="6"/>
  <c r="H186" i="6"/>
  <c r="G186" i="6"/>
  <c r="F186" i="6"/>
  <c r="E186" i="6"/>
  <c r="D186" i="6"/>
  <c r="R185" i="6"/>
  <c r="Q185" i="6"/>
  <c r="P185" i="6"/>
  <c r="O185" i="6"/>
  <c r="I185" i="6"/>
  <c r="S185" i="6" s="1"/>
  <c r="S184" i="6"/>
  <c r="R184" i="6"/>
  <c r="Q184" i="6"/>
  <c r="P184" i="6"/>
  <c r="O184" i="6"/>
  <c r="N184" i="6"/>
  <c r="R183" i="6"/>
  <c r="Q183" i="6"/>
  <c r="P183" i="6"/>
  <c r="O183" i="6"/>
  <c r="I183" i="6"/>
  <c r="I186" i="6" s="1"/>
  <c r="D183" i="6"/>
  <c r="M182" i="6"/>
  <c r="L182" i="6"/>
  <c r="K182" i="6"/>
  <c r="J182" i="6"/>
  <c r="J174" i="6" s="1"/>
  <c r="H182" i="6"/>
  <c r="G182" i="6"/>
  <c r="F182" i="6"/>
  <c r="E182" i="6"/>
  <c r="D182" i="6"/>
  <c r="S181" i="6"/>
  <c r="R181" i="6"/>
  <c r="Q181" i="6"/>
  <c r="P181" i="6"/>
  <c r="O181" i="6"/>
  <c r="N181" i="6"/>
  <c r="R180" i="6"/>
  <c r="Q180" i="6"/>
  <c r="P180" i="6"/>
  <c r="O180" i="6"/>
  <c r="I180" i="6"/>
  <c r="N180" i="6" s="1"/>
  <c r="D180" i="6"/>
  <c r="R179" i="6"/>
  <c r="Q179" i="6"/>
  <c r="P179" i="6"/>
  <c r="O179" i="6"/>
  <c r="I179" i="6"/>
  <c r="D179" i="6"/>
  <c r="M178" i="6"/>
  <c r="L178" i="6"/>
  <c r="K178" i="6"/>
  <c r="J178" i="6"/>
  <c r="H178" i="6"/>
  <c r="G178" i="6"/>
  <c r="F178" i="6"/>
  <c r="E178" i="6"/>
  <c r="R177" i="6"/>
  <c r="Q177" i="6"/>
  <c r="P177" i="6"/>
  <c r="O177" i="6"/>
  <c r="I177" i="6"/>
  <c r="S177" i="6" s="1"/>
  <c r="D177" i="6"/>
  <c r="D178" i="6" s="1"/>
  <c r="R176" i="6"/>
  <c r="Q176" i="6"/>
  <c r="P176" i="6"/>
  <c r="O176" i="6"/>
  <c r="I176" i="6"/>
  <c r="S176" i="6" s="1"/>
  <c r="R175" i="6"/>
  <c r="Q175" i="6"/>
  <c r="P175" i="6"/>
  <c r="O175" i="6"/>
  <c r="I175" i="6"/>
  <c r="I178" i="6" s="1"/>
  <c r="H47" i="3"/>
  <c r="G47" i="3"/>
  <c r="H46" i="3"/>
  <c r="G46" i="3"/>
  <c r="H45" i="3"/>
  <c r="G45" i="3"/>
  <c r="G130" i="7"/>
  <c r="G129" i="7"/>
  <c r="G124" i="7"/>
  <c r="G123" i="7"/>
  <c r="G122" i="7"/>
  <c r="I182" i="6" l="1"/>
  <c r="O174" i="6"/>
  <c r="N179" i="6"/>
  <c r="P186" i="6"/>
  <c r="R186" i="6"/>
  <c r="Q186" i="6"/>
  <c r="O186" i="6"/>
  <c r="P182" i="6"/>
  <c r="R182" i="6"/>
  <c r="Q182" i="6"/>
  <c r="O182" i="6"/>
  <c r="Q178" i="6"/>
  <c r="P178" i="6"/>
  <c r="R178" i="6"/>
  <c r="O178" i="6"/>
  <c r="S186" i="6"/>
  <c r="N186" i="6"/>
  <c r="N183" i="6"/>
  <c r="N185" i="6"/>
  <c r="S182" i="6"/>
  <c r="N182" i="6"/>
  <c r="S178" i="6"/>
  <c r="N178" i="6"/>
  <c r="S175" i="6"/>
  <c r="N176" i="6"/>
  <c r="N177" i="6"/>
  <c r="N175" i="6"/>
  <c r="L42" i="6" l="1"/>
  <c r="K42" i="6"/>
  <c r="J42" i="6"/>
  <c r="H42" i="6"/>
  <c r="W42" i="6" s="1"/>
  <c r="G42" i="6"/>
  <c r="F42" i="6"/>
  <c r="E42" i="6"/>
  <c r="R41" i="6"/>
  <c r="Q41" i="6"/>
  <c r="P41" i="6"/>
  <c r="O41" i="6"/>
  <c r="I41" i="6"/>
  <c r="N41" i="6" s="1"/>
  <c r="D41" i="6"/>
  <c r="W40" i="6"/>
  <c r="V40" i="6"/>
  <c r="U40" i="6"/>
  <c r="T40" i="6"/>
  <c r="R40" i="6"/>
  <c r="Q40" i="6"/>
  <c r="P40" i="6"/>
  <c r="O40" i="6"/>
  <c r="I40" i="6"/>
  <c r="S40" i="6" s="1"/>
  <c r="D40" i="6"/>
  <c r="R39" i="6"/>
  <c r="Q39" i="6"/>
  <c r="P39" i="6"/>
  <c r="O39" i="6"/>
  <c r="I39" i="6"/>
  <c r="N39" i="6" s="1"/>
  <c r="D39" i="6"/>
  <c r="D42" i="6" s="1"/>
  <c r="M38" i="6"/>
  <c r="L38" i="6"/>
  <c r="K38" i="6"/>
  <c r="J38" i="6"/>
  <c r="H38" i="6"/>
  <c r="G38" i="6"/>
  <c r="F38" i="6"/>
  <c r="E38" i="6"/>
  <c r="R37" i="6"/>
  <c r="Q37" i="6"/>
  <c r="P37" i="6"/>
  <c r="O37" i="6"/>
  <c r="I37" i="6"/>
  <c r="D37" i="6"/>
  <c r="W36" i="6"/>
  <c r="V36" i="6"/>
  <c r="U36" i="6"/>
  <c r="R36" i="6"/>
  <c r="Q36" i="6"/>
  <c r="P36" i="6"/>
  <c r="O36" i="6"/>
  <c r="I36" i="6"/>
  <c r="D36" i="6"/>
  <c r="R35" i="6"/>
  <c r="Q35" i="6"/>
  <c r="P35" i="6"/>
  <c r="O35" i="6"/>
  <c r="I35" i="6"/>
  <c r="D35" i="6"/>
  <c r="D38" i="6" s="1"/>
  <c r="M34" i="6"/>
  <c r="L34" i="6"/>
  <c r="K34" i="6"/>
  <c r="J34" i="6"/>
  <c r="H34" i="6"/>
  <c r="R34" i="6" s="1"/>
  <c r="G34" i="6"/>
  <c r="F34" i="6"/>
  <c r="P34" i="6" s="1"/>
  <c r="E34" i="6"/>
  <c r="W33" i="6"/>
  <c r="V33" i="6"/>
  <c r="U33" i="6"/>
  <c r="T33" i="6"/>
  <c r="R33" i="6"/>
  <c r="Q33" i="6"/>
  <c r="P33" i="6"/>
  <c r="O33" i="6"/>
  <c r="I33" i="6"/>
  <c r="S33" i="6" s="1"/>
  <c r="D33" i="6"/>
  <c r="U32" i="6"/>
  <c r="R32" i="6"/>
  <c r="Q32" i="6"/>
  <c r="P32" i="6"/>
  <c r="O32" i="6"/>
  <c r="I32" i="6"/>
  <c r="D32" i="6"/>
  <c r="R31" i="6"/>
  <c r="Q31" i="6"/>
  <c r="P31" i="6"/>
  <c r="O31" i="6"/>
  <c r="I31" i="6"/>
  <c r="I34" i="6" s="1"/>
  <c r="D31" i="6"/>
  <c r="D34" i="6" s="1"/>
  <c r="M30" i="6"/>
  <c r="L30" i="6"/>
  <c r="K30" i="6"/>
  <c r="J30" i="6"/>
  <c r="H30" i="6"/>
  <c r="G30" i="6"/>
  <c r="F30" i="6"/>
  <c r="E30" i="6"/>
  <c r="I29" i="6"/>
  <c r="D29" i="6"/>
  <c r="I28" i="6"/>
  <c r="N28" i="6" s="1"/>
  <c r="I27" i="6"/>
  <c r="D27" i="6"/>
  <c r="D30" i="6" s="1"/>
  <c r="H13" i="3"/>
  <c r="G13" i="3"/>
  <c r="H12" i="3"/>
  <c r="G12" i="3"/>
  <c r="H11" i="3"/>
  <c r="G11" i="3"/>
  <c r="H10" i="3"/>
  <c r="G10" i="3"/>
  <c r="G44" i="7"/>
  <c r="G43" i="7"/>
  <c r="G42" i="7"/>
  <c r="G41" i="7"/>
  <c r="G40" i="7"/>
  <c r="G39" i="7"/>
  <c r="G38" i="7"/>
  <c r="G37" i="7"/>
  <c r="G36" i="7"/>
  <c r="G34" i="7"/>
  <c r="G33" i="7"/>
  <c r="G32" i="7"/>
  <c r="G29" i="7"/>
  <c r="G28" i="7"/>
  <c r="G30" i="7"/>
  <c r="I38" i="6" l="1"/>
  <c r="N35" i="6"/>
  <c r="N27" i="6"/>
  <c r="O30" i="6"/>
  <c r="Q30" i="6"/>
  <c r="U34" i="6"/>
  <c r="W34" i="6"/>
  <c r="S36" i="6"/>
  <c r="U38" i="6"/>
  <c r="W38" i="6"/>
  <c r="U42" i="6"/>
  <c r="S29" i="6"/>
  <c r="U30" i="6"/>
  <c r="W30" i="6"/>
  <c r="N32" i="6"/>
  <c r="N33" i="6"/>
  <c r="O34" i="6"/>
  <c r="Q34" i="6"/>
  <c r="N37" i="6"/>
  <c r="O38" i="6"/>
  <c r="Q38" i="6"/>
  <c r="O42" i="6"/>
  <c r="Q42" i="6"/>
  <c r="N40" i="6"/>
  <c r="I42" i="6"/>
  <c r="P42" i="6"/>
  <c r="R42" i="6"/>
  <c r="T42" i="6"/>
  <c r="V42" i="6"/>
  <c r="S38" i="6"/>
  <c r="N36" i="6"/>
  <c r="N38" i="6"/>
  <c r="P38" i="6"/>
  <c r="R38" i="6"/>
  <c r="T38" i="6"/>
  <c r="V38" i="6"/>
  <c r="S34" i="6"/>
  <c r="N34" i="6"/>
  <c r="N31" i="6"/>
  <c r="S32" i="6"/>
  <c r="T34" i="6"/>
  <c r="V34" i="6"/>
  <c r="N29" i="6"/>
  <c r="P30" i="6"/>
  <c r="R30" i="6"/>
  <c r="T30" i="6"/>
  <c r="V30" i="6"/>
  <c r="I30" i="6"/>
  <c r="S42" i="6" l="1"/>
  <c r="N42" i="6"/>
  <c r="S30" i="6"/>
  <c r="N30" i="6"/>
  <c r="M22" i="6" l="1"/>
  <c r="L22" i="6"/>
  <c r="K22" i="6"/>
  <c r="J22" i="6"/>
  <c r="I22" i="6"/>
  <c r="H22" i="6"/>
  <c r="G22" i="6"/>
  <c r="F22" i="6"/>
  <c r="E22" i="6"/>
  <c r="D22" i="6" s="1"/>
  <c r="W21" i="6"/>
  <c r="V21" i="6"/>
  <c r="U21" i="6"/>
  <c r="T21" i="6"/>
  <c r="R21" i="6"/>
  <c r="Q21" i="6"/>
  <c r="P21" i="6"/>
  <c r="O21" i="6"/>
  <c r="I21" i="6"/>
  <c r="D21" i="6"/>
  <c r="W20" i="6"/>
  <c r="U20" i="6"/>
  <c r="R20" i="6"/>
  <c r="Q20" i="6"/>
  <c r="P20" i="6"/>
  <c r="O20" i="6"/>
  <c r="I20" i="6"/>
  <c r="D20" i="6"/>
  <c r="R19" i="6"/>
  <c r="R22" i="6" s="1"/>
  <c r="Q19" i="6"/>
  <c r="Q22" i="6" s="1"/>
  <c r="P19" i="6"/>
  <c r="P22" i="6" s="1"/>
  <c r="O19" i="6"/>
  <c r="O22" i="6" s="1"/>
  <c r="I19" i="6"/>
  <c r="D19" i="6"/>
  <c r="M18" i="6"/>
  <c r="L18" i="6"/>
  <c r="K18" i="6"/>
  <c r="J18" i="6"/>
  <c r="H18" i="6"/>
  <c r="G18" i="6"/>
  <c r="F18" i="6"/>
  <c r="E18" i="6"/>
  <c r="D18" i="6"/>
  <c r="R17" i="6"/>
  <c r="Q17" i="6"/>
  <c r="P17" i="6"/>
  <c r="O17" i="6"/>
  <c r="I17" i="6"/>
  <c r="D17" i="6"/>
  <c r="V16" i="6"/>
  <c r="R16" i="6"/>
  <c r="Q16" i="6"/>
  <c r="P16" i="6"/>
  <c r="O16" i="6"/>
  <c r="I16" i="6"/>
  <c r="S16" i="6" s="1"/>
  <c r="D16" i="6"/>
  <c r="N16" i="6" s="1"/>
  <c r="R15" i="6"/>
  <c r="R18" i="6" s="1"/>
  <c r="Q15" i="6"/>
  <c r="Q18" i="6" s="1"/>
  <c r="P15" i="6"/>
  <c r="P18" i="6" s="1"/>
  <c r="O15" i="6"/>
  <c r="O18" i="6" s="1"/>
  <c r="I15" i="6"/>
  <c r="D15" i="6"/>
  <c r="M14" i="6"/>
  <c r="L14" i="6"/>
  <c r="K14" i="6"/>
  <c r="J14" i="6"/>
  <c r="I14" i="6"/>
  <c r="H14" i="6"/>
  <c r="G14" i="6"/>
  <c r="F14" i="6"/>
  <c r="E14" i="6"/>
  <c r="D14" i="6" s="1"/>
  <c r="D10" i="6" s="1"/>
  <c r="W13" i="6"/>
  <c r="V13" i="6"/>
  <c r="U13" i="6"/>
  <c r="T13" i="6"/>
  <c r="R13" i="6"/>
  <c r="Q13" i="6"/>
  <c r="P13" i="6"/>
  <c r="O13" i="6"/>
  <c r="I13" i="6"/>
  <c r="D13" i="6"/>
  <c r="W12" i="6"/>
  <c r="V12" i="6"/>
  <c r="U12" i="6"/>
  <c r="T12" i="6"/>
  <c r="R12" i="6"/>
  <c r="Q12" i="6"/>
  <c r="P12" i="6"/>
  <c r="O12" i="6"/>
  <c r="I12" i="6"/>
  <c r="D12" i="6"/>
  <c r="R11" i="6"/>
  <c r="R14" i="6" s="1"/>
  <c r="Q11" i="6"/>
  <c r="Q14" i="6" s="1"/>
  <c r="P11" i="6"/>
  <c r="P14" i="6" s="1"/>
  <c r="O11" i="6"/>
  <c r="O14" i="6" s="1"/>
  <c r="I11" i="6"/>
  <c r="D11" i="6"/>
  <c r="N11" i="6" s="1"/>
  <c r="M10" i="6"/>
  <c r="L10" i="6"/>
  <c r="K10" i="6"/>
  <c r="J10" i="6"/>
  <c r="H10" i="6"/>
  <c r="G10" i="6"/>
  <c r="F10" i="6"/>
  <c r="E10" i="6"/>
  <c r="M9" i="6"/>
  <c r="L9" i="6"/>
  <c r="K9" i="6"/>
  <c r="J9" i="6"/>
  <c r="H9" i="6"/>
  <c r="G9" i="6"/>
  <c r="F9" i="6"/>
  <c r="E9" i="6"/>
  <c r="D9" i="6"/>
  <c r="M8" i="6"/>
  <c r="L8" i="6"/>
  <c r="K8" i="6"/>
  <c r="J8" i="6"/>
  <c r="H8" i="6"/>
  <c r="R8" i="6" s="1"/>
  <c r="G8" i="6"/>
  <c r="F8" i="6"/>
  <c r="P8" i="6" s="1"/>
  <c r="E8" i="6"/>
  <c r="D8" i="6"/>
  <c r="M7" i="6"/>
  <c r="L7" i="6"/>
  <c r="K7" i="6"/>
  <c r="J7" i="6"/>
  <c r="I7" i="6" s="1"/>
  <c r="N7" i="6" s="1"/>
  <c r="H7" i="6"/>
  <c r="G7" i="6"/>
  <c r="Q7" i="6" s="1"/>
  <c r="F7" i="6"/>
  <c r="E7" i="6"/>
  <c r="O7" i="6" s="1"/>
  <c r="D7" i="6"/>
  <c r="H8" i="3"/>
  <c r="G8" i="3"/>
  <c r="H7" i="3"/>
  <c r="G7" i="3"/>
  <c r="H6" i="3"/>
  <c r="G6" i="3"/>
  <c r="G26" i="7"/>
  <c r="G25" i="7"/>
  <c r="G24" i="7"/>
  <c r="G23" i="7"/>
  <c r="G22" i="7"/>
  <c r="G21" i="7"/>
  <c r="G20" i="7"/>
  <c r="G19" i="7"/>
  <c r="G18" i="7"/>
  <c r="G17" i="7"/>
  <c r="G16" i="7"/>
  <c r="G15" i="7"/>
  <c r="G14" i="7"/>
  <c r="G13" i="7"/>
  <c r="G12" i="7"/>
  <c r="G11" i="7"/>
  <c r="G10" i="7"/>
  <c r="G9" i="7"/>
  <c r="G8" i="7"/>
  <c r="G7" i="7"/>
  <c r="G6" i="7"/>
  <c r="U8" i="6" l="1"/>
  <c r="W8" i="6"/>
  <c r="T9" i="6"/>
  <c r="V9" i="6"/>
  <c r="T10" i="6"/>
  <c r="V10" i="6"/>
  <c r="U14" i="6"/>
  <c r="W14" i="6"/>
  <c r="N15" i="6"/>
  <c r="U18" i="6"/>
  <c r="W18" i="6"/>
  <c r="N19" i="6"/>
  <c r="S20" i="6"/>
  <c r="S21" i="6"/>
  <c r="T22" i="6"/>
  <c r="V22" i="6"/>
  <c r="P7" i="6"/>
  <c r="R7" i="6"/>
  <c r="T8" i="6"/>
  <c r="V8" i="6"/>
  <c r="P9" i="6"/>
  <c r="R9" i="6"/>
  <c r="P10" i="6"/>
  <c r="R10" i="6"/>
  <c r="S12" i="6"/>
  <c r="S13" i="6"/>
  <c r="T14" i="6"/>
  <c r="V14" i="6"/>
  <c r="N17" i="6"/>
  <c r="T18" i="6"/>
  <c r="V18" i="6"/>
  <c r="U22" i="6"/>
  <c r="W22" i="6"/>
  <c r="S14" i="6"/>
  <c r="S22" i="6"/>
  <c r="I8" i="6"/>
  <c r="O8" i="6"/>
  <c r="Q8" i="6"/>
  <c r="I9" i="6"/>
  <c r="O9" i="6"/>
  <c r="Q9" i="6"/>
  <c r="U9" i="6"/>
  <c r="W9" i="6"/>
  <c r="I10" i="6"/>
  <c r="O10" i="6"/>
  <c r="Q10" i="6"/>
  <c r="U10" i="6"/>
  <c r="W10" i="6"/>
  <c r="N12" i="6"/>
  <c r="N13" i="6"/>
  <c r="N14" i="6"/>
  <c r="I18" i="6"/>
  <c r="N20" i="6"/>
  <c r="N21" i="6"/>
  <c r="N22" i="6"/>
  <c r="N9" i="6" l="1"/>
  <c r="S9" i="6"/>
  <c r="N18" i="6"/>
  <c r="S18" i="6"/>
  <c r="N10" i="6"/>
  <c r="S10" i="6"/>
  <c r="N8" i="6"/>
  <c r="S8" i="6"/>
  <c r="G56" i="3" l="1"/>
  <c r="O95" i="6"/>
  <c r="P95" i="6"/>
  <c r="Q95" i="6"/>
  <c r="R95" i="6"/>
  <c r="O96" i="6"/>
  <c r="P96" i="6"/>
  <c r="Q96" i="6"/>
  <c r="R96" i="6"/>
  <c r="O97" i="6"/>
  <c r="P97" i="6"/>
  <c r="Q97" i="6"/>
  <c r="R97" i="6"/>
  <c r="O98" i="6"/>
  <c r="P98" i="6"/>
  <c r="Q98" i="6"/>
  <c r="R98" i="6"/>
  <c r="I209" i="6" l="1"/>
  <c r="M206" i="6"/>
  <c r="F29" i="3"/>
  <c r="M69" i="6"/>
  <c r="L69" i="6"/>
  <c r="F20" i="3"/>
  <c r="I100" i="6" l="1"/>
  <c r="I101" i="6"/>
  <c r="M101" i="6"/>
  <c r="M100" i="6"/>
  <c r="D101" i="6"/>
  <c r="D100" i="6"/>
  <c r="M105" i="6"/>
  <c r="M104" i="6"/>
  <c r="F52" i="3"/>
  <c r="E52" i="3"/>
  <c r="D52" i="3"/>
  <c r="C52" i="3"/>
  <c r="D15" i="3"/>
  <c r="C15" i="3"/>
  <c r="G47" i="7"/>
  <c r="M48" i="6"/>
  <c r="L48" i="6"/>
  <c r="K48" i="6"/>
  <c r="J48" i="6"/>
  <c r="H48" i="6"/>
  <c r="G48" i="6"/>
  <c r="F48" i="6"/>
  <c r="E48" i="6"/>
  <c r="M205" i="6" l="1"/>
  <c r="M204" i="6"/>
  <c r="I211" i="6"/>
  <c r="D211" i="6"/>
  <c r="D212" i="6"/>
  <c r="D213" i="6"/>
  <c r="D214" i="6"/>
  <c r="D215" i="6"/>
  <c r="D216" i="6"/>
  <c r="D217" i="6"/>
  <c r="D218" i="6"/>
  <c r="H205" i="6"/>
  <c r="H204" i="6"/>
  <c r="I212" i="6" l="1"/>
  <c r="G167" i="7"/>
  <c r="G165" i="7"/>
  <c r="I213" i="6" l="1"/>
  <c r="M58" i="6"/>
  <c r="L58" i="6"/>
  <c r="K58" i="6"/>
  <c r="J58" i="6"/>
  <c r="H58" i="6"/>
  <c r="G58" i="6"/>
  <c r="F58" i="6"/>
  <c r="E58" i="6"/>
  <c r="U57" i="6"/>
  <c r="R57" i="6"/>
  <c r="Q57" i="6"/>
  <c r="P57" i="6"/>
  <c r="O57" i="6"/>
  <c r="I57" i="6"/>
  <c r="D57" i="6"/>
  <c r="N57" i="6" s="1"/>
  <c r="R56" i="6"/>
  <c r="Q56" i="6"/>
  <c r="P56" i="6"/>
  <c r="O56" i="6"/>
  <c r="I56" i="6"/>
  <c r="D56" i="6"/>
  <c r="R55" i="6"/>
  <c r="Q55" i="6"/>
  <c r="P55" i="6"/>
  <c r="O55" i="6"/>
  <c r="I55" i="6"/>
  <c r="I58" i="6" s="1"/>
  <c r="D55" i="6"/>
  <c r="D58" i="6" s="1"/>
  <c r="M54" i="6"/>
  <c r="L54" i="6"/>
  <c r="K54" i="6"/>
  <c r="J54" i="6"/>
  <c r="H54" i="6"/>
  <c r="R54" i="6" s="1"/>
  <c r="G54" i="6"/>
  <c r="F54" i="6"/>
  <c r="P54" i="6" s="1"/>
  <c r="E54" i="6"/>
  <c r="W53" i="6"/>
  <c r="V53" i="6"/>
  <c r="U53" i="6"/>
  <c r="T53" i="6"/>
  <c r="R53" i="6"/>
  <c r="Q53" i="6"/>
  <c r="P53" i="6"/>
  <c r="O53" i="6"/>
  <c r="I53" i="6"/>
  <c r="S53" i="6" s="1"/>
  <c r="D53" i="6"/>
  <c r="W52" i="6"/>
  <c r="V52" i="6"/>
  <c r="U52" i="6"/>
  <c r="T52" i="6"/>
  <c r="R52" i="6"/>
  <c r="Q52" i="6"/>
  <c r="P52" i="6"/>
  <c r="O52" i="6"/>
  <c r="I52" i="6"/>
  <c r="S52" i="6" s="1"/>
  <c r="D52" i="6"/>
  <c r="R51" i="6"/>
  <c r="Q51" i="6"/>
  <c r="P51" i="6"/>
  <c r="O51" i="6"/>
  <c r="I51" i="6"/>
  <c r="I54" i="6" s="1"/>
  <c r="D51" i="6"/>
  <c r="D54" i="6" s="1"/>
  <c r="M50" i="6"/>
  <c r="L50" i="6"/>
  <c r="L46" i="6" s="1"/>
  <c r="K50" i="6"/>
  <c r="J50" i="6"/>
  <c r="H50" i="6"/>
  <c r="G50" i="6"/>
  <c r="F50" i="6"/>
  <c r="E50" i="6"/>
  <c r="R49" i="6"/>
  <c r="Q49" i="6"/>
  <c r="P49" i="6"/>
  <c r="O49" i="6"/>
  <c r="I49" i="6"/>
  <c r="N49" i="6" s="1"/>
  <c r="D49" i="6"/>
  <c r="U48" i="6"/>
  <c r="R48" i="6"/>
  <c r="Q48" i="6"/>
  <c r="P48" i="6"/>
  <c r="O48" i="6"/>
  <c r="I48" i="6"/>
  <c r="D48" i="6"/>
  <c r="R47" i="6"/>
  <c r="Q47" i="6"/>
  <c r="P47" i="6"/>
  <c r="O47" i="6"/>
  <c r="I47" i="6"/>
  <c r="D47" i="6"/>
  <c r="D50" i="6" s="1"/>
  <c r="M46" i="6"/>
  <c r="K46" i="6"/>
  <c r="J46" i="6"/>
  <c r="H46" i="6"/>
  <c r="G46" i="6"/>
  <c r="F46" i="6"/>
  <c r="E46" i="6"/>
  <c r="M45" i="6"/>
  <c r="L45" i="6"/>
  <c r="K45" i="6"/>
  <c r="J45" i="6"/>
  <c r="I45" i="6"/>
  <c r="H45" i="6"/>
  <c r="G45" i="6"/>
  <c r="F45" i="6"/>
  <c r="E45" i="6"/>
  <c r="D45" i="6" s="1"/>
  <c r="M44" i="6"/>
  <c r="L44" i="6"/>
  <c r="K44" i="6"/>
  <c r="J44" i="6"/>
  <c r="H44" i="6"/>
  <c r="G44" i="6"/>
  <c r="Q44" i="6" s="1"/>
  <c r="F44" i="6"/>
  <c r="E44" i="6"/>
  <c r="M43" i="6"/>
  <c r="L43" i="6"/>
  <c r="K43" i="6"/>
  <c r="J43" i="6"/>
  <c r="H43" i="6"/>
  <c r="R43" i="6" s="1"/>
  <c r="G43" i="6"/>
  <c r="F43" i="6"/>
  <c r="P43" i="6" s="1"/>
  <c r="E43" i="6"/>
  <c r="D43" i="6" s="1"/>
  <c r="E150" i="6"/>
  <c r="F150" i="6"/>
  <c r="G150" i="6"/>
  <c r="H150" i="6"/>
  <c r="K122" i="6"/>
  <c r="L122" i="6"/>
  <c r="J122" i="6"/>
  <c r="I121" i="6"/>
  <c r="M121" i="6" s="1"/>
  <c r="M120" i="6"/>
  <c r="D121" i="6"/>
  <c r="D120" i="6"/>
  <c r="T45" i="6" l="1"/>
  <c r="V45" i="6"/>
  <c r="N47" i="6"/>
  <c r="O54" i="6"/>
  <c r="Q54" i="6"/>
  <c r="U58" i="6"/>
  <c r="R58" i="6"/>
  <c r="O43" i="6"/>
  <c r="Q43" i="6"/>
  <c r="P45" i="6"/>
  <c r="R45" i="6"/>
  <c r="U54" i="6"/>
  <c r="W54" i="6"/>
  <c r="N56" i="6"/>
  <c r="S57" i="6"/>
  <c r="O58" i="6"/>
  <c r="Q58" i="6"/>
  <c r="I46" i="6"/>
  <c r="I44" i="6"/>
  <c r="N48" i="6"/>
  <c r="R44" i="6"/>
  <c r="R46" i="6"/>
  <c r="R50" i="6"/>
  <c r="Q50" i="6"/>
  <c r="V44" i="6"/>
  <c r="V46" i="6"/>
  <c r="D44" i="6"/>
  <c r="P44" i="6"/>
  <c r="D46" i="6"/>
  <c r="P46" i="6"/>
  <c r="S48" i="6"/>
  <c r="P50" i="6"/>
  <c r="T50" i="6"/>
  <c r="T44" i="6"/>
  <c r="T46" i="6"/>
  <c r="I214" i="6"/>
  <c r="N45" i="6"/>
  <c r="S54" i="6"/>
  <c r="N54" i="6"/>
  <c r="N58" i="6"/>
  <c r="S58" i="6"/>
  <c r="N44" i="6"/>
  <c r="N46" i="6"/>
  <c r="O44" i="6"/>
  <c r="S44" i="6"/>
  <c r="U44" i="6"/>
  <c r="W44" i="6"/>
  <c r="O45" i="6"/>
  <c r="Q45" i="6"/>
  <c r="S45" i="6"/>
  <c r="U45" i="6"/>
  <c r="W45" i="6"/>
  <c r="O46" i="6"/>
  <c r="Q46" i="6"/>
  <c r="S46" i="6"/>
  <c r="U46" i="6"/>
  <c r="W46" i="6"/>
  <c r="S49" i="6"/>
  <c r="I50" i="6"/>
  <c r="O50" i="6"/>
  <c r="U50" i="6"/>
  <c r="N52" i="6"/>
  <c r="N53" i="6"/>
  <c r="T54" i="6"/>
  <c r="V54" i="6"/>
  <c r="N55" i="6"/>
  <c r="I43" i="6"/>
  <c r="N51" i="6"/>
  <c r="P58" i="6"/>
  <c r="M122" i="6"/>
  <c r="D68" i="6"/>
  <c r="E67" i="6"/>
  <c r="N43" i="6" l="1"/>
  <c r="I215" i="6"/>
  <c r="N215" i="6" s="1"/>
  <c r="N50" i="6"/>
  <c r="S50" i="6"/>
  <c r="J115" i="6"/>
  <c r="K115" i="6"/>
  <c r="L115" i="6"/>
  <c r="M115" i="6"/>
  <c r="J116" i="6"/>
  <c r="K116" i="6"/>
  <c r="L116" i="6"/>
  <c r="M116" i="6"/>
  <c r="J117" i="6"/>
  <c r="K117" i="6"/>
  <c r="L117" i="6"/>
  <c r="M117" i="6"/>
  <c r="M118" i="6" s="1"/>
  <c r="I216" i="6" l="1"/>
  <c r="D98" i="6"/>
  <c r="N216" i="6" l="1"/>
  <c r="I217" i="6"/>
  <c r="I218" i="6"/>
  <c r="H27" i="3"/>
  <c r="N218" i="6" l="1"/>
  <c r="S218" i="6"/>
  <c r="S217" i="6"/>
  <c r="N217" i="6"/>
  <c r="O119" i="6"/>
  <c r="P119" i="6"/>
  <c r="Q119" i="6"/>
  <c r="R119" i="6"/>
  <c r="G159" i="7" l="1"/>
  <c r="G158" i="7"/>
  <c r="G157" i="7"/>
  <c r="G156" i="7"/>
  <c r="G155" i="7"/>
  <c r="G154" i="7"/>
  <c r="M202" i="6" l="1"/>
  <c r="H202" i="6"/>
  <c r="G52" i="3" l="1"/>
  <c r="H52" i="3"/>
  <c r="C14" i="3"/>
  <c r="D14" i="3"/>
  <c r="O210" i="6"/>
  <c r="M210" i="6"/>
  <c r="R210" i="6" s="1"/>
  <c r="L210" i="6"/>
  <c r="K210" i="6"/>
  <c r="G210" i="6"/>
  <c r="F210" i="6"/>
  <c r="R209" i="6"/>
  <c r="Q209" i="6"/>
  <c r="P209" i="6"/>
  <c r="O209" i="6"/>
  <c r="D209" i="6"/>
  <c r="R208" i="6"/>
  <c r="Q208" i="6"/>
  <c r="P208" i="6"/>
  <c r="O208" i="6"/>
  <c r="I208" i="6"/>
  <c r="D208" i="6"/>
  <c r="R207" i="6"/>
  <c r="Q207" i="6"/>
  <c r="P207" i="6"/>
  <c r="O207" i="6"/>
  <c r="I207" i="6"/>
  <c r="D207" i="6"/>
  <c r="U205" i="6"/>
  <c r="P205" i="6"/>
  <c r="Q205" i="6"/>
  <c r="I205" i="6"/>
  <c r="W205" i="6"/>
  <c r="G206" i="6"/>
  <c r="R203" i="6"/>
  <c r="Q203" i="6"/>
  <c r="P203" i="6"/>
  <c r="O203" i="6"/>
  <c r="I203" i="6"/>
  <c r="D203" i="6"/>
  <c r="G202" i="6"/>
  <c r="Q202" i="6" s="1"/>
  <c r="F202" i="6"/>
  <c r="P202" i="6" s="1"/>
  <c r="E202" i="6"/>
  <c r="O202" i="6" s="1"/>
  <c r="W201" i="6"/>
  <c r="R201" i="6"/>
  <c r="Q201" i="6"/>
  <c r="P201" i="6"/>
  <c r="O201" i="6"/>
  <c r="I201" i="6"/>
  <c r="D201" i="6"/>
  <c r="W200" i="6"/>
  <c r="R200" i="6"/>
  <c r="Q200" i="6"/>
  <c r="P200" i="6"/>
  <c r="O200" i="6"/>
  <c r="I200" i="6"/>
  <c r="D200" i="6"/>
  <c r="R199" i="6"/>
  <c r="Q199" i="6"/>
  <c r="P199" i="6"/>
  <c r="O199" i="6"/>
  <c r="I199" i="6"/>
  <c r="D199" i="6"/>
  <c r="D202" i="6" s="1"/>
  <c r="M198" i="6"/>
  <c r="L198" i="6"/>
  <c r="K198" i="6"/>
  <c r="J198" i="6"/>
  <c r="H198" i="6"/>
  <c r="G198" i="6"/>
  <c r="F198" i="6"/>
  <c r="E198" i="6"/>
  <c r="D198" i="6" s="1"/>
  <c r="R197" i="6"/>
  <c r="Q197" i="6"/>
  <c r="P197" i="6"/>
  <c r="O197" i="6"/>
  <c r="I197" i="6"/>
  <c r="D197" i="6"/>
  <c r="N197" i="6" s="1"/>
  <c r="R196" i="6"/>
  <c r="Q196" i="6"/>
  <c r="P196" i="6"/>
  <c r="O196" i="6"/>
  <c r="I196" i="6"/>
  <c r="D196" i="6"/>
  <c r="R195" i="6"/>
  <c r="Q195" i="6"/>
  <c r="P195" i="6"/>
  <c r="O195" i="6"/>
  <c r="I195" i="6"/>
  <c r="I198" i="6" s="1"/>
  <c r="D195" i="6"/>
  <c r="N195" i="6" s="1"/>
  <c r="L194" i="6"/>
  <c r="K194" i="6"/>
  <c r="J194" i="6"/>
  <c r="H194" i="6"/>
  <c r="G194" i="6"/>
  <c r="F194" i="6"/>
  <c r="E194" i="6"/>
  <c r="R193" i="6"/>
  <c r="Q193" i="6"/>
  <c r="P193" i="6"/>
  <c r="O193" i="6"/>
  <c r="I193" i="6"/>
  <c r="D193" i="6"/>
  <c r="Q192" i="6"/>
  <c r="P192" i="6"/>
  <c r="O192" i="6"/>
  <c r="R192" i="6"/>
  <c r="D192" i="6"/>
  <c r="R191" i="6"/>
  <c r="Q191" i="6"/>
  <c r="P191" i="6"/>
  <c r="O191" i="6"/>
  <c r="I191" i="6"/>
  <c r="D191" i="6"/>
  <c r="K190" i="6"/>
  <c r="H190" i="6"/>
  <c r="F190" i="6"/>
  <c r="M189" i="6"/>
  <c r="L189" i="6"/>
  <c r="K189" i="6"/>
  <c r="J189" i="6"/>
  <c r="H189" i="6"/>
  <c r="G189" i="6"/>
  <c r="F189" i="6"/>
  <c r="E189" i="6"/>
  <c r="M188" i="6"/>
  <c r="L188" i="6"/>
  <c r="K188" i="6"/>
  <c r="J188" i="6"/>
  <c r="H188" i="6"/>
  <c r="R188" i="6" s="1"/>
  <c r="G188" i="6"/>
  <c r="F188" i="6"/>
  <c r="P188" i="6" s="1"/>
  <c r="E188" i="6"/>
  <c r="M187" i="6"/>
  <c r="L187" i="6"/>
  <c r="K187" i="6"/>
  <c r="J187" i="6"/>
  <c r="H187" i="6"/>
  <c r="G187" i="6"/>
  <c r="F187" i="6"/>
  <c r="E187" i="6"/>
  <c r="M170" i="6"/>
  <c r="L170" i="6"/>
  <c r="J170" i="6"/>
  <c r="H170" i="6"/>
  <c r="G170" i="6"/>
  <c r="E170" i="6"/>
  <c r="U169" i="6"/>
  <c r="P169" i="6"/>
  <c r="O169" i="6"/>
  <c r="R168" i="6"/>
  <c r="Q168" i="6"/>
  <c r="P168" i="6"/>
  <c r="O168" i="6"/>
  <c r="I168" i="6"/>
  <c r="D168" i="6"/>
  <c r="R167" i="6"/>
  <c r="Q167" i="6"/>
  <c r="P167" i="6"/>
  <c r="O167" i="6"/>
  <c r="I167" i="6"/>
  <c r="D167" i="6"/>
  <c r="L150" i="6"/>
  <c r="K150" i="6"/>
  <c r="J150" i="6"/>
  <c r="R149" i="6"/>
  <c r="Q149" i="6"/>
  <c r="P149" i="6"/>
  <c r="O149" i="6"/>
  <c r="I149" i="6"/>
  <c r="D149" i="6"/>
  <c r="R148" i="6"/>
  <c r="Q148" i="6"/>
  <c r="P148" i="6"/>
  <c r="O148" i="6"/>
  <c r="R147" i="6"/>
  <c r="Q147" i="6"/>
  <c r="P147" i="6"/>
  <c r="O147" i="6"/>
  <c r="I147" i="6"/>
  <c r="D147" i="6"/>
  <c r="D150" i="6" s="1"/>
  <c r="K146" i="6"/>
  <c r="K142" i="6" s="1"/>
  <c r="J146" i="6"/>
  <c r="H146" i="6"/>
  <c r="H142" i="6" s="1"/>
  <c r="G146" i="6"/>
  <c r="R145" i="6"/>
  <c r="Q145" i="6"/>
  <c r="P145" i="6"/>
  <c r="O145" i="6"/>
  <c r="I145" i="6"/>
  <c r="D145" i="6"/>
  <c r="R144" i="6"/>
  <c r="P144" i="6"/>
  <c r="Q144" i="6"/>
  <c r="E146" i="6"/>
  <c r="R143" i="6"/>
  <c r="Q143" i="6"/>
  <c r="P143" i="6"/>
  <c r="O143" i="6"/>
  <c r="I143" i="6"/>
  <c r="D143" i="6"/>
  <c r="M142" i="6"/>
  <c r="J142" i="6"/>
  <c r="G142" i="6"/>
  <c r="F142" i="6"/>
  <c r="M141" i="6"/>
  <c r="L141" i="6"/>
  <c r="K141" i="6"/>
  <c r="J141" i="6"/>
  <c r="H141" i="6"/>
  <c r="R141" i="6" s="1"/>
  <c r="G141" i="6"/>
  <c r="F141" i="6"/>
  <c r="P141" i="6" s="1"/>
  <c r="E141" i="6"/>
  <c r="D141" i="6"/>
  <c r="M140" i="6"/>
  <c r="L140" i="6"/>
  <c r="K140" i="6"/>
  <c r="J140" i="6"/>
  <c r="I140" i="6" s="1"/>
  <c r="H140" i="6"/>
  <c r="R140" i="6" s="1"/>
  <c r="G140" i="6"/>
  <c r="F140" i="6"/>
  <c r="P140" i="6" s="1"/>
  <c r="M139" i="6"/>
  <c r="L139" i="6"/>
  <c r="K139" i="6"/>
  <c r="J139" i="6"/>
  <c r="H139" i="6"/>
  <c r="G139" i="6"/>
  <c r="F139" i="6"/>
  <c r="E139" i="6"/>
  <c r="M138" i="6"/>
  <c r="L138" i="6"/>
  <c r="K138" i="6"/>
  <c r="J138" i="6"/>
  <c r="H138" i="6"/>
  <c r="G138" i="6"/>
  <c r="F138" i="6"/>
  <c r="E138" i="6"/>
  <c r="R137" i="6"/>
  <c r="Q137" i="6"/>
  <c r="P137" i="6"/>
  <c r="O137" i="6"/>
  <c r="I137" i="6"/>
  <c r="D137" i="6"/>
  <c r="R136" i="6"/>
  <c r="Q136" i="6"/>
  <c r="P136" i="6"/>
  <c r="O136" i="6"/>
  <c r="I136" i="6"/>
  <c r="D136" i="6"/>
  <c r="R135" i="6"/>
  <c r="Q135" i="6"/>
  <c r="P135" i="6"/>
  <c r="O135" i="6"/>
  <c r="I135" i="6"/>
  <c r="I138" i="6" s="1"/>
  <c r="D135" i="6"/>
  <c r="D138" i="6" s="1"/>
  <c r="K134" i="6"/>
  <c r="E134" i="6"/>
  <c r="L134" i="6"/>
  <c r="J134" i="6"/>
  <c r="H134" i="6"/>
  <c r="G134" i="6"/>
  <c r="F134" i="6"/>
  <c r="R132" i="6"/>
  <c r="Q132" i="6"/>
  <c r="P132" i="6"/>
  <c r="O132" i="6"/>
  <c r="I132" i="6"/>
  <c r="D132" i="6"/>
  <c r="R131" i="6"/>
  <c r="Q131" i="6"/>
  <c r="P131" i="6"/>
  <c r="O131" i="6"/>
  <c r="I131" i="6"/>
  <c r="D131" i="6"/>
  <c r="K130" i="6"/>
  <c r="K126" i="6" s="1"/>
  <c r="J130" i="6"/>
  <c r="H130" i="6"/>
  <c r="G130" i="6"/>
  <c r="E130" i="6"/>
  <c r="E126" i="6" s="1"/>
  <c r="T129" i="6"/>
  <c r="R129" i="6"/>
  <c r="O129" i="6"/>
  <c r="L130" i="6"/>
  <c r="P129" i="6"/>
  <c r="Q128" i="6"/>
  <c r="O128" i="6"/>
  <c r="R128" i="6"/>
  <c r="R127" i="6"/>
  <c r="Q127" i="6"/>
  <c r="P127" i="6"/>
  <c r="O127" i="6"/>
  <c r="I127" i="6"/>
  <c r="D127" i="6"/>
  <c r="M125" i="6"/>
  <c r="L125" i="6"/>
  <c r="K125" i="6"/>
  <c r="J125" i="6"/>
  <c r="H125" i="6"/>
  <c r="G125" i="6"/>
  <c r="F125" i="6"/>
  <c r="E125" i="6"/>
  <c r="M124" i="6"/>
  <c r="L124" i="6"/>
  <c r="K124" i="6"/>
  <c r="J124" i="6"/>
  <c r="H124" i="6"/>
  <c r="R124" i="6" s="1"/>
  <c r="G124" i="6"/>
  <c r="F124" i="6"/>
  <c r="P124" i="6" s="1"/>
  <c r="E124" i="6"/>
  <c r="M123" i="6"/>
  <c r="L123" i="6"/>
  <c r="K123" i="6"/>
  <c r="J123" i="6"/>
  <c r="H123" i="6"/>
  <c r="G123" i="6"/>
  <c r="F123" i="6"/>
  <c r="E123" i="6"/>
  <c r="L118" i="6"/>
  <c r="K118" i="6"/>
  <c r="J118" i="6"/>
  <c r="I118" i="6" s="1"/>
  <c r="H122" i="6"/>
  <c r="G122" i="6"/>
  <c r="G118" i="6" s="1"/>
  <c r="F122" i="6"/>
  <c r="E122" i="6"/>
  <c r="E118" i="6" s="1"/>
  <c r="R121" i="6"/>
  <c r="Q121" i="6"/>
  <c r="P121" i="6"/>
  <c r="O121" i="6"/>
  <c r="R120" i="6"/>
  <c r="Q120" i="6"/>
  <c r="P120" i="6"/>
  <c r="O120" i="6"/>
  <c r="S120" i="6"/>
  <c r="I119" i="6"/>
  <c r="D119" i="6"/>
  <c r="D122" i="6" s="1"/>
  <c r="D118" i="6" s="1"/>
  <c r="H118" i="6"/>
  <c r="R118" i="6" s="1"/>
  <c r="F118" i="6"/>
  <c r="H117" i="6"/>
  <c r="R117" i="6" s="1"/>
  <c r="G117" i="6"/>
  <c r="F117" i="6"/>
  <c r="P117" i="6" s="1"/>
  <c r="E117" i="6"/>
  <c r="D117" i="6"/>
  <c r="H116" i="6"/>
  <c r="R116" i="6" s="1"/>
  <c r="G116" i="6"/>
  <c r="F116" i="6"/>
  <c r="P116" i="6" s="1"/>
  <c r="E116" i="6"/>
  <c r="D116" i="6"/>
  <c r="I115" i="6"/>
  <c r="H115" i="6"/>
  <c r="G115" i="6"/>
  <c r="F115" i="6"/>
  <c r="E115" i="6"/>
  <c r="M114" i="6"/>
  <c r="L114" i="6"/>
  <c r="K114" i="6"/>
  <c r="J114" i="6"/>
  <c r="H114" i="6"/>
  <c r="G114" i="6"/>
  <c r="F114" i="6"/>
  <c r="E114" i="6"/>
  <c r="R113" i="6"/>
  <c r="Q113" i="6"/>
  <c r="P113" i="6"/>
  <c r="O113" i="6"/>
  <c r="I113" i="6"/>
  <c r="N113" i="6" s="1"/>
  <c r="R112" i="6"/>
  <c r="Q112" i="6"/>
  <c r="P112" i="6"/>
  <c r="O112" i="6"/>
  <c r="I112" i="6"/>
  <c r="S112" i="6" s="1"/>
  <c r="R111" i="6"/>
  <c r="Q111" i="6"/>
  <c r="P111" i="6"/>
  <c r="O111" i="6"/>
  <c r="I111" i="6"/>
  <c r="D111" i="6"/>
  <c r="D114" i="6" s="1"/>
  <c r="M110" i="6"/>
  <c r="L110" i="6"/>
  <c r="K110" i="6"/>
  <c r="J110" i="6"/>
  <c r="H110" i="6"/>
  <c r="G110" i="6"/>
  <c r="F110" i="6"/>
  <c r="E110" i="6"/>
  <c r="R109" i="6"/>
  <c r="Q109" i="6"/>
  <c r="P109" i="6"/>
  <c r="O109" i="6"/>
  <c r="I109" i="6"/>
  <c r="S109" i="6" s="1"/>
  <c r="R108" i="6"/>
  <c r="Q108" i="6"/>
  <c r="P108" i="6"/>
  <c r="O108" i="6"/>
  <c r="I108" i="6"/>
  <c r="D108" i="6"/>
  <c r="R107" i="6"/>
  <c r="Q107" i="6"/>
  <c r="P107" i="6"/>
  <c r="O107" i="6"/>
  <c r="I107" i="6"/>
  <c r="D107" i="6"/>
  <c r="D110" i="6" s="1"/>
  <c r="M106" i="6"/>
  <c r="L106" i="6"/>
  <c r="K106" i="6"/>
  <c r="K102" i="6" s="1"/>
  <c r="J106" i="6"/>
  <c r="J102" i="6" s="1"/>
  <c r="H106" i="6"/>
  <c r="G106" i="6"/>
  <c r="F106" i="6"/>
  <c r="F102" i="6" s="1"/>
  <c r="E106" i="6"/>
  <c r="R105" i="6"/>
  <c r="Q105" i="6"/>
  <c r="P105" i="6"/>
  <c r="O105" i="6"/>
  <c r="I105" i="6"/>
  <c r="N105" i="6" s="1"/>
  <c r="R104" i="6"/>
  <c r="Q104" i="6"/>
  <c r="P104" i="6"/>
  <c r="O104" i="6"/>
  <c r="I104" i="6"/>
  <c r="S104" i="6" s="1"/>
  <c r="R103" i="6"/>
  <c r="Q103" i="6"/>
  <c r="P103" i="6"/>
  <c r="O103" i="6"/>
  <c r="I103" i="6"/>
  <c r="D103" i="6"/>
  <c r="D106" i="6" s="1"/>
  <c r="H102" i="6"/>
  <c r="N101" i="6"/>
  <c r="H101" i="6"/>
  <c r="G101" i="6"/>
  <c r="Q101" i="6" s="1"/>
  <c r="F101" i="6"/>
  <c r="E101" i="6"/>
  <c r="H100" i="6"/>
  <c r="R100" i="6" s="1"/>
  <c r="G100" i="6"/>
  <c r="F100" i="6"/>
  <c r="P100" i="6" s="1"/>
  <c r="E100" i="6"/>
  <c r="M99" i="6"/>
  <c r="M102" i="6" s="1"/>
  <c r="L99" i="6"/>
  <c r="K99" i="6"/>
  <c r="J99" i="6"/>
  <c r="H99" i="6"/>
  <c r="R99" i="6" s="1"/>
  <c r="G99" i="6"/>
  <c r="F99" i="6"/>
  <c r="P99" i="6" s="1"/>
  <c r="E99" i="6"/>
  <c r="M90" i="6"/>
  <c r="L90" i="6"/>
  <c r="K90" i="6"/>
  <c r="J90" i="6"/>
  <c r="H90" i="6"/>
  <c r="G90" i="6"/>
  <c r="F90" i="6"/>
  <c r="E90" i="6"/>
  <c r="R89" i="6"/>
  <c r="Q89" i="6"/>
  <c r="P89" i="6"/>
  <c r="O89" i="6"/>
  <c r="I89" i="6"/>
  <c r="R88" i="6"/>
  <c r="Q88" i="6"/>
  <c r="P88" i="6"/>
  <c r="O88" i="6"/>
  <c r="I88" i="6"/>
  <c r="R87" i="6"/>
  <c r="Q87" i="6"/>
  <c r="P87" i="6"/>
  <c r="O87" i="6"/>
  <c r="I87" i="6"/>
  <c r="D87" i="6"/>
  <c r="D90" i="6" s="1"/>
  <c r="M86" i="6"/>
  <c r="L86" i="6"/>
  <c r="K86" i="6"/>
  <c r="J86" i="6"/>
  <c r="H86" i="6"/>
  <c r="G86" i="6"/>
  <c r="F86" i="6"/>
  <c r="E86" i="6"/>
  <c r="R85" i="6"/>
  <c r="Q85" i="6"/>
  <c r="P85" i="6"/>
  <c r="O85" i="6"/>
  <c r="I85" i="6"/>
  <c r="R84" i="6"/>
  <c r="Q84" i="6"/>
  <c r="P84" i="6"/>
  <c r="O84" i="6"/>
  <c r="I84" i="6"/>
  <c r="R83" i="6"/>
  <c r="Q83" i="6"/>
  <c r="P83" i="6"/>
  <c r="O83" i="6"/>
  <c r="I83" i="6"/>
  <c r="M82" i="6"/>
  <c r="L82" i="6"/>
  <c r="K82" i="6"/>
  <c r="J82" i="6"/>
  <c r="R81" i="6"/>
  <c r="Q81" i="6"/>
  <c r="P81" i="6"/>
  <c r="O81" i="6"/>
  <c r="I81" i="6"/>
  <c r="N81" i="6" s="1"/>
  <c r="R80" i="6"/>
  <c r="Q80" i="6"/>
  <c r="P80" i="6"/>
  <c r="O80" i="6"/>
  <c r="I80" i="6"/>
  <c r="N80" i="6" s="1"/>
  <c r="R79" i="6"/>
  <c r="Q79" i="6"/>
  <c r="P79" i="6"/>
  <c r="O79" i="6"/>
  <c r="I79" i="6"/>
  <c r="D79" i="6"/>
  <c r="D82" i="6" s="1"/>
  <c r="M78" i="6"/>
  <c r="L78" i="6"/>
  <c r="K78" i="6"/>
  <c r="J78" i="6"/>
  <c r="H78" i="6"/>
  <c r="G78" i="6"/>
  <c r="F78" i="6"/>
  <c r="E78" i="6"/>
  <c r="R77" i="6"/>
  <c r="Q77" i="6"/>
  <c r="P77" i="6"/>
  <c r="O77" i="6"/>
  <c r="R76" i="6"/>
  <c r="Q76" i="6"/>
  <c r="P76" i="6"/>
  <c r="O76" i="6"/>
  <c r="R75" i="6"/>
  <c r="Q75" i="6"/>
  <c r="P75" i="6"/>
  <c r="O75" i="6"/>
  <c r="I78" i="6"/>
  <c r="N75" i="6"/>
  <c r="M74" i="6"/>
  <c r="M70" i="6" s="1"/>
  <c r="L74" i="6"/>
  <c r="L70" i="6" s="1"/>
  <c r="K74" i="6"/>
  <c r="J74" i="6"/>
  <c r="J70" i="6" s="1"/>
  <c r="H74" i="6"/>
  <c r="H70" i="6" s="1"/>
  <c r="G74" i="6"/>
  <c r="F74" i="6"/>
  <c r="F70" i="6" s="1"/>
  <c r="E74" i="6"/>
  <c r="R73" i="6"/>
  <c r="Q73" i="6"/>
  <c r="P73" i="6"/>
  <c r="O73" i="6"/>
  <c r="I73" i="6"/>
  <c r="D73" i="6"/>
  <c r="D69" i="6" s="1"/>
  <c r="R72" i="6"/>
  <c r="Q72" i="6"/>
  <c r="P72" i="6"/>
  <c r="O72" i="6"/>
  <c r="R71" i="6"/>
  <c r="Q71" i="6"/>
  <c r="P71" i="6"/>
  <c r="O71" i="6"/>
  <c r="I71" i="6"/>
  <c r="I74" i="6" s="1"/>
  <c r="D71" i="6"/>
  <c r="K70" i="6"/>
  <c r="K69" i="6"/>
  <c r="J69" i="6"/>
  <c r="H69" i="6"/>
  <c r="G69" i="6"/>
  <c r="F69" i="6"/>
  <c r="E69" i="6"/>
  <c r="M68" i="6"/>
  <c r="L68" i="6"/>
  <c r="K68" i="6"/>
  <c r="J68" i="6"/>
  <c r="H68" i="6"/>
  <c r="G68" i="6"/>
  <c r="F68" i="6"/>
  <c r="E68" i="6"/>
  <c r="M67" i="6"/>
  <c r="L67" i="6"/>
  <c r="K67" i="6"/>
  <c r="J67" i="6"/>
  <c r="H67" i="6"/>
  <c r="G67" i="6"/>
  <c r="F67" i="6"/>
  <c r="L66" i="6"/>
  <c r="H66" i="6"/>
  <c r="H62" i="6" s="1"/>
  <c r="G66" i="6"/>
  <c r="F66" i="6"/>
  <c r="F62" i="6" s="1"/>
  <c r="R65" i="6"/>
  <c r="Q65" i="6"/>
  <c r="P65" i="6"/>
  <c r="O65" i="6"/>
  <c r="I65" i="6"/>
  <c r="R64" i="6"/>
  <c r="Q64" i="6"/>
  <c r="P64" i="6"/>
  <c r="O64" i="6"/>
  <c r="I64" i="6"/>
  <c r="D64" i="6"/>
  <c r="R63" i="6"/>
  <c r="Q63" i="6"/>
  <c r="P63" i="6"/>
  <c r="O63" i="6"/>
  <c r="I63" i="6"/>
  <c r="D63" i="6"/>
  <c r="L62" i="6"/>
  <c r="I62" i="6" s="1"/>
  <c r="G62" i="6"/>
  <c r="E62" i="6"/>
  <c r="R61" i="6"/>
  <c r="L61" i="6"/>
  <c r="G61" i="6"/>
  <c r="M60" i="6"/>
  <c r="L60" i="6"/>
  <c r="K60" i="6"/>
  <c r="J60" i="6"/>
  <c r="H60" i="6"/>
  <c r="R60" i="6" s="1"/>
  <c r="G60" i="6"/>
  <c r="F60" i="6"/>
  <c r="P60" i="6" s="1"/>
  <c r="E60" i="6"/>
  <c r="M59" i="6"/>
  <c r="L59" i="6"/>
  <c r="K59" i="6"/>
  <c r="J59" i="6"/>
  <c r="H59" i="6"/>
  <c r="G59" i="6"/>
  <c r="F59" i="6"/>
  <c r="E59" i="6"/>
  <c r="F17" i="3"/>
  <c r="F91" i="6" l="1"/>
  <c r="F92" i="6" s="1"/>
  <c r="F93" i="6" s="1"/>
  <c r="H91" i="6"/>
  <c r="H92" i="6" s="1"/>
  <c r="H93" i="6" s="1"/>
  <c r="R102" i="6"/>
  <c r="G102" i="6"/>
  <c r="G190" i="6"/>
  <c r="J190" i="6"/>
  <c r="L190" i="6"/>
  <c r="E91" i="6"/>
  <c r="E92" i="6" s="1"/>
  <c r="E93" i="6" s="1"/>
  <c r="G91" i="6"/>
  <c r="G92" i="6"/>
  <c r="G93" i="6" s="1"/>
  <c r="I99" i="6"/>
  <c r="I102" i="6"/>
  <c r="I139" i="6"/>
  <c r="E102" i="6"/>
  <c r="D102" i="6" s="1"/>
  <c r="I67" i="6"/>
  <c r="E70" i="6"/>
  <c r="I123" i="6"/>
  <c r="E190" i="6"/>
  <c r="N198" i="6"/>
  <c r="I202" i="6"/>
  <c r="N63" i="6"/>
  <c r="D139" i="6"/>
  <c r="Q139" i="6"/>
  <c r="P139" i="6"/>
  <c r="D74" i="6"/>
  <c r="N74" i="6" s="1"/>
  <c r="D67" i="6"/>
  <c r="Q122" i="6"/>
  <c r="P118" i="6"/>
  <c r="O122" i="6"/>
  <c r="D125" i="6"/>
  <c r="D124" i="6"/>
  <c r="T130" i="6"/>
  <c r="I187" i="6"/>
  <c r="N193" i="6"/>
  <c r="D188" i="6"/>
  <c r="D190" i="6"/>
  <c r="D194" i="6"/>
  <c r="D210" i="6"/>
  <c r="D99" i="6"/>
  <c r="N107" i="6"/>
  <c r="N108" i="6"/>
  <c r="D115" i="6"/>
  <c r="Q115" i="6"/>
  <c r="P115" i="6"/>
  <c r="D204" i="6"/>
  <c r="O67" i="6"/>
  <c r="G70" i="6"/>
  <c r="Q70" i="6" s="1"/>
  <c r="P106" i="6"/>
  <c r="R106" i="6"/>
  <c r="R115" i="6"/>
  <c r="R139" i="6"/>
  <c r="I59" i="6"/>
  <c r="D60" i="6"/>
  <c r="D123" i="6"/>
  <c r="Q123" i="6"/>
  <c r="P123" i="6"/>
  <c r="R123" i="6"/>
  <c r="N203" i="6"/>
  <c r="I90" i="6"/>
  <c r="I86" i="6"/>
  <c r="N83" i="6"/>
  <c r="I82" i="6"/>
  <c r="N82" i="6" s="1"/>
  <c r="Q67" i="6"/>
  <c r="I106" i="6"/>
  <c r="N106" i="6" s="1"/>
  <c r="N104" i="6"/>
  <c r="D62" i="6"/>
  <c r="N62" i="6" s="1"/>
  <c r="N64" i="6"/>
  <c r="N65" i="6"/>
  <c r="N109" i="6"/>
  <c r="N112" i="6"/>
  <c r="N120" i="6"/>
  <c r="R142" i="6"/>
  <c r="N148" i="6"/>
  <c r="N149" i="6"/>
  <c r="N167" i="6"/>
  <c r="N169" i="6"/>
  <c r="D189" i="6"/>
  <c r="S201" i="6"/>
  <c r="W202" i="6"/>
  <c r="E15" i="3"/>
  <c r="E14" i="3" s="1"/>
  <c r="H17" i="3"/>
  <c r="G17" i="3"/>
  <c r="O59" i="6"/>
  <c r="Q59" i="6"/>
  <c r="P59" i="6"/>
  <c r="R59" i="6"/>
  <c r="O60" i="6"/>
  <c r="Q60" i="6"/>
  <c r="Q61" i="6"/>
  <c r="O62" i="6"/>
  <c r="Q62" i="6"/>
  <c r="O66" i="6"/>
  <c r="Q66" i="6"/>
  <c r="P67" i="6"/>
  <c r="R67" i="6"/>
  <c r="P69" i="6"/>
  <c r="R69" i="6"/>
  <c r="P70" i="6"/>
  <c r="R70" i="6"/>
  <c r="S72" i="6"/>
  <c r="N73" i="6"/>
  <c r="P74" i="6"/>
  <c r="R74" i="6"/>
  <c r="S76" i="6"/>
  <c r="S77" i="6"/>
  <c r="S80" i="6"/>
  <c r="S81" i="6"/>
  <c r="P82" i="6"/>
  <c r="R82" i="6"/>
  <c r="S84" i="6"/>
  <c r="S85" i="6"/>
  <c r="N88" i="6"/>
  <c r="N89" i="6"/>
  <c r="P90" i="6"/>
  <c r="R90" i="6"/>
  <c r="O99" i="6"/>
  <c r="Q99" i="6"/>
  <c r="O100" i="6"/>
  <c r="Q100" i="6"/>
  <c r="P101" i="6"/>
  <c r="R101" i="6"/>
  <c r="P102" i="6"/>
  <c r="P110" i="6"/>
  <c r="R110" i="6"/>
  <c r="P66" i="6"/>
  <c r="R66" i="6"/>
  <c r="P68" i="6"/>
  <c r="R68" i="6"/>
  <c r="O78" i="6"/>
  <c r="Q78" i="6"/>
  <c r="O86" i="6"/>
  <c r="Q86" i="6"/>
  <c r="O101" i="6"/>
  <c r="O102" i="6"/>
  <c r="Q102" i="6"/>
  <c r="O106" i="6"/>
  <c r="Q106" i="6"/>
  <c r="O110" i="6"/>
  <c r="O114" i="6"/>
  <c r="Q114" i="6"/>
  <c r="O116" i="6"/>
  <c r="Q116" i="6"/>
  <c r="O124" i="6"/>
  <c r="Q124" i="6"/>
  <c r="U125" i="6"/>
  <c r="H126" i="6"/>
  <c r="O138" i="6"/>
  <c r="Q138" i="6"/>
  <c r="O140" i="6"/>
  <c r="Q140" i="6"/>
  <c r="O142" i="6"/>
  <c r="U170" i="6"/>
  <c r="O189" i="6"/>
  <c r="O198" i="6"/>
  <c r="Q198" i="6"/>
  <c r="O204" i="6"/>
  <c r="O205" i="6"/>
  <c r="N207" i="6"/>
  <c r="S209" i="6"/>
  <c r="Q210" i="6"/>
  <c r="Q110" i="6"/>
  <c r="P114" i="6"/>
  <c r="R114" i="6"/>
  <c r="O117" i="6"/>
  <c r="Q117" i="6"/>
  <c r="O118" i="6"/>
  <c r="Q118" i="6"/>
  <c r="P122" i="6"/>
  <c r="R122" i="6"/>
  <c r="O125" i="6"/>
  <c r="Q125" i="6"/>
  <c r="F130" i="6"/>
  <c r="F126" i="6" s="1"/>
  <c r="P126" i="6" s="1"/>
  <c r="N131" i="6"/>
  <c r="N132" i="6"/>
  <c r="G126" i="6"/>
  <c r="R133" i="6"/>
  <c r="N138" i="6"/>
  <c r="N136" i="6"/>
  <c r="N137" i="6"/>
  <c r="P138" i="6"/>
  <c r="R138" i="6"/>
  <c r="O141" i="6"/>
  <c r="Q141" i="6"/>
  <c r="P142" i="6"/>
  <c r="N145" i="6"/>
  <c r="R146" i="6"/>
  <c r="N147" i="6"/>
  <c r="S148" i="6"/>
  <c r="P150" i="6"/>
  <c r="R150" i="6"/>
  <c r="N168" i="6"/>
  <c r="N170" i="6"/>
  <c r="O170" i="6"/>
  <c r="O187" i="6"/>
  <c r="Q187" i="6"/>
  <c r="P187" i="6"/>
  <c r="R187" i="6"/>
  <c r="O188" i="6"/>
  <c r="R189" i="6"/>
  <c r="O190" i="6"/>
  <c r="N191" i="6"/>
  <c r="I192" i="6"/>
  <c r="N192" i="6" s="1"/>
  <c r="S193" i="6"/>
  <c r="O194" i="6"/>
  <c r="N196" i="6"/>
  <c r="P198" i="6"/>
  <c r="R198" i="6"/>
  <c r="S200" i="6"/>
  <c r="N201" i="6"/>
  <c r="Q204" i="6"/>
  <c r="E206" i="6"/>
  <c r="N208" i="6"/>
  <c r="N202" i="6"/>
  <c r="S202" i="6"/>
  <c r="N200" i="6"/>
  <c r="I204" i="6"/>
  <c r="P204" i="6"/>
  <c r="R204" i="6"/>
  <c r="T204" i="6"/>
  <c r="D205" i="6"/>
  <c r="S205" i="6" s="1"/>
  <c r="R205" i="6"/>
  <c r="T205" i="6"/>
  <c r="V205" i="6"/>
  <c r="F206" i="6"/>
  <c r="H206" i="6"/>
  <c r="R206" i="6" s="1"/>
  <c r="P206" i="6"/>
  <c r="N209" i="6"/>
  <c r="I210" i="6"/>
  <c r="P210" i="6"/>
  <c r="N199" i="6"/>
  <c r="R202" i="6"/>
  <c r="W204" i="6"/>
  <c r="D187" i="6"/>
  <c r="N187" i="6" s="1"/>
  <c r="I188" i="6"/>
  <c r="Q188" i="6"/>
  <c r="I189" i="6"/>
  <c r="Q189" i="6"/>
  <c r="Q190" i="6"/>
  <c r="I194" i="6"/>
  <c r="M194" i="6"/>
  <c r="Q194" i="6"/>
  <c r="P189" i="6"/>
  <c r="P190" i="6"/>
  <c r="P194" i="6"/>
  <c r="P170" i="6"/>
  <c r="O146" i="6"/>
  <c r="N139" i="6"/>
  <c r="O139" i="6"/>
  <c r="N144" i="6"/>
  <c r="L146" i="6"/>
  <c r="P146" i="6"/>
  <c r="I150" i="6"/>
  <c r="O150" i="6"/>
  <c r="Q150" i="6"/>
  <c r="I141" i="6"/>
  <c r="N141" i="6" s="1"/>
  <c r="N143" i="6"/>
  <c r="O144" i="6"/>
  <c r="D126" i="6"/>
  <c r="Q130" i="6"/>
  <c r="L126" i="6"/>
  <c r="T134" i="6"/>
  <c r="O134" i="6"/>
  <c r="J126" i="6"/>
  <c r="P130" i="6"/>
  <c r="P134" i="6"/>
  <c r="Q134" i="6"/>
  <c r="U126" i="6"/>
  <c r="O123" i="6"/>
  <c r="P125" i="6"/>
  <c r="R125" i="6"/>
  <c r="T125" i="6"/>
  <c r="N127" i="6"/>
  <c r="Q129" i="6"/>
  <c r="U129" i="6"/>
  <c r="M130" i="6"/>
  <c r="O130" i="6"/>
  <c r="U130" i="6"/>
  <c r="O133" i="6"/>
  <c r="Q133" i="6"/>
  <c r="M134" i="6"/>
  <c r="I124" i="6"/>
  <c r="I125" i="6"/>
  <c r="D128" i="6"/>
  <c r="I128" i="6"/>
  <c r="P128" i="6"/>
  <c r="D129" i="6"/>
  <c r="I129" i="6"/>
  <c r="D133" i="6"/>
  <c r="D134" i="6" s="1"/>
  <c r="I133" i="6"/>
  <c r="P133" i="6"/>
  <c r="T133" i="6"/>
  <c r="N135" i="6"/>
  <c r="N115" i="6"/>
  <c r="O115" i="6"/>
  <c r="N119" i="6"/>
  <c r="I116" i="6"/>
  <c r="I117" i="6"/>
  <c r="S101" i="6"/>
  <c r="N103" i="6"/>
  <c r="S105" i="6"/>
  <c r="N111" i="6"/>
  <c r="S113" i="6"/>
  <c r="I114" i="6"/>
  <c r="N99" i="6"/>
  <c r="I110" i="6"/>
  <c r="S74" i="6"/>
  <c r="S82" i="6"/>
  <c r="N90" i="6"/>
  <c r="S90" i="6"/>
  <c r="I68" i="6"/>
  <c r="O68" i="6"/>
  <c r="Q68" i="6"/>
  <c r="I69" i="6"/>
  <c r="O69" i="6"/>
  <c r="Q69" i="6"/>
  <c r="O70" i="6"/>
  <c r="N72" i="6"/>
  <c r="O74" i="6"/>
  <c r="Q74" i="6"/>
  <c r="N76" i="6"/>
  <c r="N77" i="6"/>
  <c r="D78" i="6"/>
  <c r="N78" i="6" s="1"/>
  <c r="P78" i="6"/>
  <c r="R78" i="6"/>
  <c r="N79" i="6"/>
  <c r="O82" i="6"/>
  <c r="Q82" i="6"/>
  <c r="N84" i="6"/>
  <c r="N85" i="6"/>
  <c r="D86" i="6"/>
  <c r="P86" i="6"/>
  <c r="R86" i="6"/>
  <c r="N87" i="6"/>
  <c r="S88" i="6"/>
  <c r="S89" i="6"/>
  <c r="O90" i="6"/>
  <c r="Q90" i="6"/>
  <c r="N71" i="6"/>
  <c r="D59" i="6"/>
  <c r="N59" i="6" s="1"/>
  <c r="I60" i="6"/>
  <c r="I61" i="6"/>
  <c r="P62" i="6"/>
  <c r="R62" i="6"/>
  <c r="I66" i="6"/>
  <c r="N67" i="6" l="1"/>
  <c r="I206" i="6"/>
  <c r="N123" i="6"/>
  <c r="N60" i="6"/>
  <c r="N86" i="6"/>
  <c r="S106" i="6"/>
  <c r="D70" i="6"/>
  <c r="D130" i="6"/>
  <c r="I130" i="6"/>
  <c r="I190" i="6"/>
  <c r="N190" i="6" s="1"/>
  <c r="D206" i="6"/>
  <c r="S144" i="6"/>
  <c r="D146" i="6"/>
  <c r="I146" i="6"/>
  <c r="I142" i="6" s="1"/>
  <c r="S210" i="6"/>
  <c r="N210" i="6"/>
  <c r="O206" i="6"/>
  <c r="T206" i="6"/>
  <c r="S204" i="6"/>
  <c r="N204" i="6"/>
  <c r="N205" i="6"/>
  <c r="U206" i="6"/>
  <c r="W206" i="6"/>
  <c r="Q206" i="6"/>
  <c r="V206" i="6"/>
  <c r="R194" i="6"/>
  <c r="M190" i="6"/>
  <c r="R190" i="6" s="1"/>
  <c r="N194" i="6"/>
  <c r="S194" i="6"/>
  <c r="N189" i="6"/>
  <c r="S189" i="6"/>
  <c r="N188" i="6"/>
  <c r="S140" i="6"/>
  <c r="N140" i="6"/>
  <c r="Q146" i="6"/>
  <c r="L142" i="6"/>
  <c r="N150" i="6"/>
  <c r="S150" i="6"/>
  <c r="N133" i="6"/>
  <c r="S133" i="6"/>
  <c r="N129" i="6"/>
  <c r="S129" i="6"/>
  <c r="N124" i="6"/>
  <c r="R134" i="6"/>
  <c r="R130" i="6"/>
  <c r="M126" i="6"/>
  <c r="O126" i="6"/>
  <c r="I126" i="6"/>
  <c r="T126" i="6"/>
  <c r="N128" i="6"/>
  <c r="S125" i="6"/>
  <c r="N125" i="6"/>
  <c r="Q126" i="6"/>
  <c r="I134" i="6"/>
  <c r="S118" i="6"/>
  <c r="N118" i="6"/>
  <c r="S116" i="6"/>
  <c r="N116" i="6"/>
  <c r="S117" i="6"/>
  <c r="N117" i="6"/>
  <c r="S102" i="6"/>
  <c r="N102" i="6"/>
  <c r="S110" i="6"/>
  <c r="N110" i="6"/>
  <c r="S100" i="6"/>
  <c r="N100" i="6"/>
  <c r="N114" i="6"/>
  <c r="S114" i="6"/>
  <c r="N68" i="6"/>
  <c r="I70" i="6"/>
  <c r="S86" i="6"/>
  <c r="S78" i="6"/>
  <c r="N69" i="6"/>
  <c r="N66" i="6"/>
  <c r="N61" i="6"/>
  <c r="F15" i="3"/>
  <c r="F16" i="3"/>
  <c r="G111" i="7"/>
  <c r="G110" i="7"/>
  <c r="G109" i="7"/>
  <c r="G108" i="7"/>
  <c r="G107" i="7"/>
  <c r="F105" i="7"/>
  <c r="G105" i="7" s="1"/>
  <c r="F104" i="7"/>
  <c r="G104" i="7" s="1"/>
  <c r="F103" i="7"/>
  <c r="G103" i="7" s="1"/>
  <c r="F102" i="7"/>
  <c r="G102" i="7" s="1"/>
  <c r="F101" i="7"/>
  <c r="G101" i="7" s="1"/>
  <c r="F100" i="7"/>
  <c r="G52" i="7"/>
  <c r="G51" i="7"/>
  <c r="G50" i="7"/>
  <c r="G49" i="7"/>
  <c r="G48" i="7"/>
  <c r="G46" i="7"/>
  <c r="F36" i="3"/>
  <c r="G36" i="3" s="1"/>
  <c r="D34" i="3"/>
  <c r="E34" i="3"/>
  <c r="C34" i="3"/>
  <c r="E40" i="3"/>
  <c r="D18" i="3"/>
  <c r="E18" i="3"/>
  <c r="F18" i="3"/>
  <c r="C18" i="3"/>
  <c r="G19" i="3"/>
  <c r="G18" i="3" s="1"/>
  <c r="N130" i="6" l="1"/>
  <c r="F35" i="3"/>
  <c r="H35" i="3" s="1"/>
  <c r="H36" i="3"/>
  <c r="S130" i="6"/>
  <c r="S190" i="6"/>
  <c r="F40" i="3"/>
  <c r="F56" i="3" s="1"/>
  <c r="F14" i="3"/>
  <c r="G15" i="3"/>
  <c r="H15" i="3"/>
  <c r="N146" i="6"/>
  <c r="S146" i="6"/>
  <c r="G16" i="3"/>
  <c r="H16" i="3"/>
  <c r="S206" i="6"/>
  <c r="N206" i="6"/>
  <c r="Q142" i="6"/>
  <c r="N134" i="6"/>
  <c r="S134" i="6"/>
  <c r="S126" i="6"/>
  <c r="N126" i="6"/>
  <c r="R126" i="6"/>
  <c r="N70" i="6"/>
  <c r="L153" i="6"/>
  <c r="K153" i="6"/>
  <c r="G153" i="6"/>
  <c r="H153" i="6"/>
  <c r="J153" i="6"/>
  <c r="M153" i="6"/>
  <c r="F153" i="6"/>
  <c r="E153" i="6"/>
  <c r="F34" i="3" l="1"/>
  <c r="H34" i="3" s="1"/>
  <c r="G35" i="3"/>
  <c r="G14" i="3"/>
  <c r="H14" i="3"/>
  <c r="D153" i="6"/>
  <c r="D222" i="6" s="1"/>
  <c r="N142" i="6"/>
  <c r="S142" i="6"/>
  <c r="G34" i="3"/>
  <c r="G39" i="3" l="1"/>
  <c r="G38" i="3"/>
  <c r="H39" i="3"/>
  <c r="H38" i="3"/>
  <c r="D37" i="3"/>
  <c r="E37" i="3"/>
  <c r="F37" i="3"/>
  <c r="C37" i="3"/>
  <c r="G37" i="3" l="1"/>
  <c r="H37" i="3"/>
  <c r="D171" i="6"/>
  <c r="J171" i="6"/>
  <c r="O171" i="6" s="1"/>
  <c r="K171" i="6"/>
  <c r="P171" i="6" s="1"/>
  <c r="L171" i="6"/>
  <c r="Q171" i="6" s="1"/>
  <c r="M171" i="6"/>
  <c r="R171" i="6" s="1"/>
  <c r="D172" i="6"/>
  <c r="J172" i="6"/>
  <c r="O172" i="6" s="1"/>
  <c r="K172" i="6"/>
  <c r="P172" i="6" s="1"/>
  <c r="L172" i="6"/>
  <c r="Q172" i="6" s="1"/>
  <c r="M172" i="6"/>
  <c r="K173" i="6"/>
  <c r="L173" i="6"/>
  <c r="M173" i="6"/>
  <c r="I172" i="6" l="1"/>
  <c r="S172" i="6" s="1"/>
  <c r="I173" i="6"/>
  <c r="I171" i="6"/>
  <c r="N171" i="6" s="1"/>
  <c r="N172" i="6" l="1"/>
  <c r="S171" i="6"/>
  <c r="G75" i="7"/>
  <c r="G76" i="7"/>
  <c r="G77" i="7"/>
  <c r="G78" i="7"/>
  <c r="G79" i="7"/>
  <c r="G80" i="7"/>
  <c r="G81" i="7"/>
  <c r="G82" i="7"/>
  <c r="G83" i="7"/>
  <c r="H30" i="3"/>
  <c r="H31" i="3"/>
  <c r="H29" i="3"/>
  <c r="G30" i="3"/>
  <c r="G31" i="3"/>
  <c r="G29" i="3"/>
  <c r="D28" i="3"/>
  <c r="E28" i="3"/>
  <c r="F28" i="3"/>
  <c r="C28" i="3"/>
  <c r="H28" i="3" l="1"/>
  <c r="G28" i="3"/>
  <c r="D48" i="3"/>
  <c r="D56" i="3" s="1"/>
  <c r="E48" i="3"/>
  <c r="E56" i="3" s="1"/>
  <c r="F48" i="3"/>
  <c r="C48" i="3"/>
  <c r="H49" i="3"/>
  <c r="H48" i="3" s="1"/>
  <c r="G49" i="3"/>
  <c r="G48" i="3" s="1"/>
  <c r="F44" i="3" l="1"/>
  <c r="C44" i="3"/>
  <c r="E44" i="3" l="1"/>
  <c r="G44" i="3" s="1"/>
  <c r="H44" i="3"/>
  <c r="D44" i="3"/>
  <c r="S173" i="6" l="1"/>
  <c r="N173" i="6"/>
  <c r="G145" i="7" l="1"/>
  <c r="G144" i="7"/>
  <c r="G143" i="7"/>
  <c r="G141" i="7"/>
  <c r="G139" i="7"/>
  <c r="G138" i="7"/>
  <c r="G137" i="7"/>
  <c r="G136" i="7"/>
  <c r="G135" i="7"/>
  <c r="G134" i="7"/>
  <c r="G133" i="7"/>
  <c r="G132" i="7"/>
  <c r="G118" i="7" l="1"/>
  <c r="G117" i="7"/>
  <c r="G116" i="7"/>
  <c r="G115" i="7"/>
  <c r="G114" i="7"/>
  <c r="H42" i="3"/>
  <c r="G42" i="3"/>
  <c r="C40" i="3"/>
  <c r="C56" i="3" s="1"/>
  <c r="G40" i="3" l="1"/>
  <c r="H40" i="3"/>
  <c r="G97" i="7"/>
  <c r="G96" i="7"/>
  <c r="G94" i="7"/>
  <c r="G93" i="7"/>
  <c r="D32" i="3"/>
  <c r="E32" i="3"/>
  <c r="F32" i="3"/>
  <c r="C32" i="3"/>
  <c r="H33" i="3"/>
  <c r="G33" i="3"/>
  <c r="D9" i="3"/>
  <c r="C9" i="3"/>
  <c r="G32" i="3" l="1"/>
  <c r="H32" i="3"/>
  <c r="G70" i="7"/>
  <c r="G69" i="7"/>
  <c r="G68" i="7"/>
  <c r="G67" i="7"/>
  <c r="G66" i="7"/>
  <c r="G65" i="7"/>
  <c r="G64" i="7"/>
  <c r="G63" i="7"/>
  <c r="G62" i="7"/>
  <c r="G61" i="7"/>
  <c r="G60" i="7"/>
  <c r="G59" i="7"/>
  <c r="G58" i="7"/>
  <c r="G57" i="7"/>
  <c r="G56" i="7"/>
  <c r="H21" i="3"/>
  <c r="H22" i="3"/>
  <c r="H23" i="3"/>
  <c r="H24" i="3"/>
  <c r="H25" i="3"/>
  <c r="G22" i="3" l="1"/>
  <c r="G23" i="3"/>
  <c r="G24" i="3"/>
  <c r="G25" i="3"/>
  <c r="G21" i="3"/>
  <c r="D20" i="3"/>
  <c r="E20" i="3"/>
  <c r="C20" i="3"/>
  <c r="D91" i="6"/>
  <c r="I91" i="6"/>
  <c r="O91" i="6"/>
  <c r="P91" i="6"/>
  <c r="Q91" i="6"/>
  <c r="R91" i="6"/>
  <c r="D92" i="6"/>
  <c r="I92" i="6"/>
  <c r="O92" i="6"/>
  <c r="P92" i="6"/>
  <c r="Q92" i="6"/>
  <c r="R92" i="6"/>
  <c r="D93" i="6"/>
  <c r="I93" i="6"/>
  <c r="O93" i="6"/>
  <c r="P93" i="6"/>
  <c r="Q93" i="6"/>
  <c r="R93" i="6"/>
  <c r="D94" i="6"/>
  <c r="E94" i="6"/>
  <c r="F94" i="6"/>
  <c r="G94" i="6"/>
  <c r="H94" i="6"/>
  <c r="J94" i="6"/>
  <c r="O94" i="6" s="1"/>
  <c r="K94" i="6"/>
  <c r="P94" i="6" s="1"/>
  <c r="L94" i="6"/>
  <c r="Q94" i="6" s="1"/>
  <c r="M94" i="6"/>
  <c r="R94" i="6" s="1"/>
  <c r="N91" i="6" l="1"/>
  <c r="G20" i="3"/>
  <c r="H20" i="3"/>
  <c r="I94" i="6"/>
  <c r="N92" i="6"/>
  <c r="N93" i="6"/>
  <c r="N94" i="6" l="1"/>
  <c r="D5" i="3" l="1"/>
  <c r="C5" i="3"/>
  <c r="E24" i="6" l="1"/>
  <c r="E25" i="6"/>
  <c r="G152" i="7" l="1"/>
  <c r="G151" i="7"/>
  <c r="G150" i="7"/>
  <c r="G149" i="7"/>
  <c r="G148" i="7"/>
  <c r="G147" i="7"/>
  <c r="G140" i="7"/>
  <c r="G91" i="7"/>
  <c r="G90" i="7"/>
  <c r="G89" i="7"/>
  <c r="G88" i="7"/>
  <c r="G87" i="7"/>
  <c r="G86" i="7"/>
  <c r="G85" i="7"/>
  <c r="G84" i="7"/>
  <c r="G54" i="7"/>
  <c r="G31" i="7"/>
  <c r="D25" i="6" l="1"/>
  <c r="D24" i="6"/>
  <c r="J24" i="6"/>
  <c r="J25" i="6"/>
  <c r="I25" i="6" l="1"/>
  <c r="T24" i="6"/>
  <c r="K151" i="6"/>
  <c r="L151" i="6"/>
  <c r="M151" i="6"/>
  <c r="K152" i="6"/>
  <c r="L152" i="6"/>
  <c r="M152" i="6"/>
  <c r="J152" i="6"/>
  <c r="J151" i="6"/>
  <c r="F151" i="6"/>
  <c r="G151" i="6"/>
  <c r="H151" i="6"/>
  <c r="F152" i="6"/>
  <c r="G152" i="6"/>
  <c r="H152" i="6"/>
  <c r="E152" i="6"/>
  <c r="D152" i="6" s="1"/>
  <c r="D221" i="6" s="1"/>
  <c r="E151" i="6"/>
  <c r="K174" i="6"/>
  <c r="L174" i="6"/>
  <c r="Q174" i="6" s="1"/>
  <c r="M174" i="6"/>
  <c r="R174" i="6" s="1"/>
  <c r="F162" i="6"/>
  <c r="H162" i="6"/>
  <c r="J162" i="6"/>
  <c r="K162" i="6"/>
  <c r="M162" i="6"/>
  <c r="R162" i="6" s="1"/>
  <c r="E162" i="6"/>
  <c r="F154" i="6"/>
  <c r="G154" i="6"/>
  <c r="H154" i="6"/>
  <c r="J154" i="6"/>
  <c r="K154" i="6"/>
  <c r="M154" i="6"/>
  <c r="E154" i="6"/>
  <c r="D159" i="6"/>
  <c r="D160" i="6"/>
  <c r="D161" i="6"/>
  <c r="I159" i="6"/>
  <c r="I160" i="6"/>
  <c r="N160" i="6" s="1"/>
  <c r="I161" i="6"/>
  <c r="K23" i="6"/>
  <c r="L23" i="6"/>
  <c r="M23" i="6"/>
  <c r="K24" i="6"/>
  <c r="L24" i="6"/>
  <c r="M24" i="6"/>
  <c r="K25" i="6"/>
  <c r="L25" i="6"/>
  <c r="M25" i="6"/>
  <c r="J23" i="6"/>
  <c r="F23" i="6"/>
  <c r="G23" i="6"/>
  <c r="H23" i="6"/>
  <c r="F24" i="6"/>
  <c r="G24" i="6"/>
  <c r="H24" i="6"/>
  <c r="F25" i="6"/>
  <c r="G25" i="6"/>
  <c r="H25" i="6"/>
  <c r="T25" i="6"/>
  <c r="E23" i="6"/>
  <c r="P162" i="6"/>
  <c r="V161" i="6"/>
  <c r="S161" i="6"/>
  <c r="R161" i="6"/>
  <c r="Q161" i="6"/>
  <c r="P161" i="6"/>
  <c r="O161" i="6"/>
  <c r="V160" i="6"/>
  <c r="R160" i="6"/>
  <c r="Q160" i="6"/>
  <c r="P160" i="6"/>
  <c r="O160" i="6"/>
  <c r="V159" i="6"/>
  <c r="R159" i="6"/>
  <c r="Q159" i="6"/>
  <c r="P159" i="6"/>
  <c r="O159" i="6"/>
  <c r="W153" i="6"/>
  <c r="U153" i="6"/>
  <c r="T153" i="6"/>
  <c r="R153" i="6"/>
  <c r="Q153" i="6"/>
  <c r="P153" i="6"/>
  <c r="O153" i="6"/>
  <c r="V152" i="6"/>
  <c r="Q152" i="6"/>
  <c r="O152" i="6"/>
  <c r="R151" i="6"/>
  <c r="Q151" i="6"/>
  <c r="O151" i="6"/>
  <c r="U24" i="6"/>
  <c r="V24" i="6"/>
  <c r="W24" i="6"/>
  <c r="U25" i="6"/>
  <c r="W25" i="6"/>
  <c r="P23" i="6"/>
  <c r="R23" i="6"/>
  <c r="Q24" i="6"/>
  <c r="P25" i="6"/>
  <c r="R25" i="6"/>
  <c r="E26" i="6"/>
  <c r="G26" i="6"/>
  <c r="N25" i="6"/>
  <c r="S160" i="6" l="1"/>
  <c r="D154" i="6"/>
  <c r="P174" i="6"/>
  <c r="I174" i="6"/>
  <c r="S159" i="6"/>
  <c r="R24" i="6"/>
  <c r="P24" i="6"/>
  <c r="I24" i="6"/>
  <c r="N161" i="6"/>
  <c r="N159" i="6"/>
  <c r="L154" i="6"/>
  <c r="Q154" i="6" s="1"/>
  <c r="I153" i="6"/>
  <c r="I222" i="6" s="1"/>
  <c r="D151" i="6"/>
  <c r="D220" i="6" s="1"/>
  <c r="D223" i="6" s="1"/>
  <c r="I152" i="6"/>
  <c r="I151" i="6"/>
  <c r="I220" i="6" s="1"/>
  <c r="P151" i="6"/>
  <c r="T23" i="6"/>
  <c r="V23" i="6"/>
  <c r="W23" i="6"/>
  <c r="U23" i="6"/>
  <c r="V153" i="6"/>
  <c r="R152" i="6"/>
  <c r="P152" i="6"/>
  <c r="V151" i="6"/>
  <c r="V25" i="6"/>
  <c r="N153" i="6"/>
  <c r="D23" i="6"/>
  <c r="H26" i="6"/>
  <c r="F26" i="6"/>
  <c r="I23" i="6"/>
  <c r="K26" i="6"/>
  <c r="U26" i="6" s="1"/>
  <c r="Q25" i="6"/>
  <c r="O25" i="6"/>
  <c r="O24" i="6"/>
  <c r="Q23" i="6"/>
  <c r="O23" i="6"/>
  <c r="O162" i="6"/>
  <c r="Q162" i="6"/>
  <c r="I162" i="6"/>
  <c r="N162" i="6" s="1"/>
  <c r="T154" i="6"/>
  <c r="R154" i="6"/>
  <c r="W154" i="6"/>
  <c r="P154" i="6"/>
  <c r="U154" i="6"/>
  <c r="O154" i="6"/>
  <c r="N24" i="6"/>
  <c r="M26" i="6"/>
  <c r="R26" i="6" s="1"/>
  <c r="L26" i="6"/>
  <c r="J26" i="6"/>
  <c r="T26" i="6" s="1"/>
  <c r="S25" i="6"/>
  <c r="S24" i="6"/>
  <c r="N152" i="6" l="1"/>
  <c r="V154" i="6"/>
  <c r="S162" i="6"/>
  <c r="I223" i="6"/>
  <c r="S153" i="6"/>
  <c r="N23" i="6"/>
  <c r="P26" i="6"/>
  <c r="S23" i="6"/>
  <c r="F9" i="3"/>
  <c r="I154" i="6"/>
  <c r="S154" i="6" s="1"/>
  <c r="N151" i="6"/>
  <c r="V26" i="6"/>
  <c r="Q26" i="6"/>
  <c r="D26" i="6"/>
  <c r="O26" i="6"/>
  <c r="I26" i="6"/>
  <c r="W26" i="6"/>
  <c r="N222" i="6"/>
  <c r="N154" i="6" l="1"/>
  <c r="S26" i="6"/>
  <c r="E5" i="3"/>
  <c r="F5" i="3"/>
  <c r="E9" i="3"/>
  <c r="H9" i="3" s="1"/>
  <c r="N26" i="6"/>
  <c r="N220" i="6"/>
  <c r="N174" i="6"/>
  <c r="S174" i="6"/>
  <c r="N221" i="6"/>
  <c r="N223" i="6" l="1"/>
  <c r="G9" i="3"/>
  <c r="G5" i="3"/>
  <c r="H5" i="3"/>
  <c r="N121" i="6" l="1"/>
  <c r="S121" i="6"/>
  <c r="I122" i="6"/>
  <c r="S122" i="6" s="1"/>
  <c r="N122" i="6" l="1"/>
</calcChain>
</file>

<file path=xl/sharedStrings.xml><?xml version="1.0" encoding="utf-8"?>
<sst xmlns="http://schemas.openxmlformats.org/spreadsheetml/2006/main" count="1404" uniqueCount="394">
  <si>
    <t>№ п/п</t>
  </si>
  <si>
    <t>Федеральный бюджет</t>
  </si>
  <si>
    <t>Краевой бюджет</t>
  </si>
  <si>
    <t>Результат "+" освоение "-" неосвоение</t>
  </si>
  <si>
    <t>Районный бюджет</t>
  </si>
  <si>
    <t>Источник финансирования</t>
  </si>
  <si>
    <t>ВСЕГО:</t>
  </si>
  <si>
    <t>I квартал</t>
  </si>
  <si>
    <t>II квартал</t>
  </si>
  <si>
    <t>III квартал</t>
  </si>
  <si>
    <t>IV квартал</t>
  </si>
  <si>
    <t>Приложение 1</t>
  </si>
  <si>
    <t xml:space="preserve">Утверждено решением о бюджете </t>
  </si>
  <si>
    <t>Уточненные бюджетные назначения</t>
  </si>
  <si>
    <t>Отклонение</t>
  </si>
  <si>
    <t>% исполнения</t>
  </si>
  <si>
    <t>Предусмотрено нормативным правовым актом</t>
  </si>
  <si>
    <t>7=6-5</t>
  </si>
  <si>
    <t>Приложение 2</t>
  </si>
  <si>
    <t>Процент исполнения, % (факт к плану)</t>
  </si>
  <si>
    <t>Итого по подпрограмме</t>
  </si>
  <si>
    <t>Всего по программе</t>
  </si>
  <si>
    <t>Исполнено (фактические расходы)</t>
  </si>
  <si>
    <t>1</t>
  </si>
  <si>
    <t>(тыс. руб.)</t>
  </si>
  <si>
    <t>Наименование программы (подпрограммы)</t>
  </si>
  <si>
    <t>"Развитие образования Кежемского района",в том числе:</t>
  </si>
  <si>
    <t>«Система социальной защиты населения
Кежемского района"</t>
  </si>
  <si>
    <t>«Реформирование и модернизация жилищно-коммунального хозяйства и повышение энергетической эффективности»</t>
  </si>
  <si>
    <t>Отдельные мероприятия</t>
  </si>
  <si>
    <t>"Охрана окружающей среды, воспроизводство природных ресурсов на территории Кежемского района</t>
  </si>
  <si>
    <t>«Развитие культуры на территории Кежемского района»</t>
  </si>
  <si>
    <t xml:space="preserve"> «Развитие физической культуры, спорта, туризма в Кежемском районе»</t>
  </si>
  <si>
    <t xml:space="preserve"> «Развитие молодежной политики в Кежемском районе»</t>
  </si>
  <si>
    <t xml:space="preserve"> "Развитие транспортной системы Кежемского района"</t>
  </si>
  <si>
    <t xml:space="preserve"> «Развитие сельского хозяйства в Кежемском районе»</t>
  </si>
  <si>
    <t>«Обеспечение доступным и комфортным жильем жителей Кежемского района»</t>
  </si>
  <si>
    <t>"Управление муниципальными финансами"</t>
  </si>
  <si>
    <t>"Содействие развитию гражданского общества в Кежемском районе"</t>
  </si>
  <si>
    <t>"Защита населения и территории Кежемского района от чрезвычайных ситуаций природного и техногенного характера"</t>
  </si>
  <si>
    <t>Муниципальная программа "Содействие занятости населения Кежемского района"</t>
  </si>
  <si>
    <t>"Развитие образования Кежемского района"</t>
  </si>
  <si>
    <t xml:space="preserve">"Система социальной защиты населения
Кежемского района"
</t>
  </si>
  <si>
    <t>"Охрана окружающей среды, воспроизводство природных ресурсов на территории Кежемского района"</t>
  </si>
  <si>
    <t>"Развитие культуры на территории Кежемского района"</t>
  </si>
  <si>
    <t>Подпрограмма №1 «Развитие дошкольного, общего и дополнительного образования детей»</t>
  </si>
  <si>
    <t>Подпрограмма №2 «Господдержка детей сирот, и детей, оставшихся без попечения родителей»</t>
  </si>
  <si>
    <t xml:space="preserve">Подпрограмма №3 «Обеспечение реализации муниципальной программы и прочие мероприятия в области образования» </t>
  </si>
  <si>
    <t xml:space="preserve">Подпрограмма 1 «Повышение качества жизни отдельных категорий граждан, в т. ч. инвалидов, степени их социальной защищенности» </t>
  </si>
  <si>
    <t>Подпрограмма 2 «Социальная поддержка семей, имеющих детей»</t>
  </si>
  <si>
    <t>Подпрограмма 4 "Повышение качества и доступности социальных услуг населению"</t>
  </si>
  <si>
    <t>Подпрограмма 5 "Обеспечение реализации муниципальной  программы и прочие мероприятия"</t>
  </si>
  <si>
    <t>Подпрограмма №1  «Модернизация, реконструкция и капитальный ремонт объектов коммунальной инфраструктуры Кежемского района»</t>
  </si>
  <si>
    <t>Подпрограмма №2 «Обеспечение реализации муниципальной программы и прочие мероприятия»</t>
  </si>
  <si>
    <t>Подпрограмма 1 "Обращение с отходами на территории Кежемского района"</t>
  </si>
  <si>
    <t>Подпрограмма 1 «Развитие архивного дела в Кежемском районе»</t>
  </si>
  <si>
    <t>Подпрограмма 2 "Обеспечение деятельности и развитие учреждений культуры клубного тип"</t>
  </si>
  <si>
    <t>Подпрограмма 3 "Обеспечение деятельности и развитие музеев"</t>
  </si>
  <si>
    <t>Подпрограмма 4 "Обеспечение деятельности и развитие учреждений библиотечного типа"</t>
  </si>
  <si>
    <t>Подпрограмма 5 "Обеспечение деятельности и развитие учреждений дополнительного образования в области культуры "</t>
  </si>
  <si>
    <t>Подпрограмма 6 "Обеспечение деятельности прочих учреждений, осуществляющих деятельность по ведению бухгалтерского учета"</t>
  </si>
  <si>
    <t>Подпрограмма 1 "Развитие массовой физической культуры и спорта"</t>
  </si>
  <si>
    <t>Подпрограмма 2 "Развитие спорта высшых достижений"</t>
  </si>
  <si>
    <t>Подпрограмма 3 "Развитие системы подготовки спортивного резерва"</t>
  </si>
  <si>
    <t>Подпрограмма 1 «Вовлечение молодежи Кежемского района в социальную практику»</t>
  </si>
  <si>
    <t>Подпрограмма 1 "Дороги Кежемского района"</t>
  </si>
  <si>
    <t>Подпрограмма 2 "Развитие транспортного комплекса Кежемского района"</t>
  </si>
  <si>
    <t>Подпрограмма 3 "Повышение безопасности дорожного движения в Кежемском районе"</t>
  </si>
  <si>
    <t>Подпрограмма 1 «Устойчивое развитие сельских территорий»</t>
  </si>
  <si>
    <t>Подпрограмма 2 «Обеспечение реализации муниципальной программы и прочие мероприятия »</t>
  </si>
  <si>
    <t>Подпрограмма 1 "Управление муниципальным имуществом Кежемского района"</t>
  </si>
  <si>
    <t>Подпрограмма 4 «Обеспечение жильем молодых семей в Кежемском районе»</t>
  </si>
  <si>
    <t>Подпрограмма 5 "Территориальное  планирование, градостроительное зонирование и документация по планировке территорий района"</t>
  </si>
  <si>
    <t>Подпрограмма 1 "Создание условий для эффективного управления муниципальными финансами, повышения устойчивости бюджетов муниципальных образований Кежемского района"</t>
  </si>
  <si>
    <t>Подпрограмма 2 "Управление муниципальным долгом Кежемского района"</t>
  </si>
  <si>
    <t>Подпрограмма 3 "Обеспечение реализации муниципальной программы и прочие мероприятия"</t>
  </si>
  <si>
    <t>Подпрограмма 1 "Поддержка социально ориентированных некоммерческих организаций"</t>
  </si>
  <si>
    <t>Подпрограмма 2 "Обеспечение информационными ресурсами гражданской тематики населения Кежемского района для решения социальных проблем"</t>
  </si>
  <si>
    <t>Причины неисполнения*</t>
  </si>
  <si>
    <t>Наименование муниципальной программы</t>
  </si>
  <si>
    <t>Целевые показатели муниципальной программы</t>
  </si>
  <si>
    <t>Единица измерения</t>
  </si>
  <si>
    <t>Процент исполнения, %</t>
  </si>
  <si>
    <t xml:space="preserve">Муниципальная программа  "Развитие образования Кежемского района" </t>
  </si>
  <si>
    <t>Муниципальная программа "Система социальной защиты населения Кежемского района"</t>
  </si>
  <si>
    <t>Муниципальная программа "Реформирование и модернизация жилищно-коммунального хозяйства и повышение энергетической эффективности"</t>
  </si>
  <si>
    <t>Муниципальная программа "Охрана окружающей среды, воспроизводство природных ресурсов на территории Кежемского района"</t>
  </si>
  <si>
    <t>Муниципальная программа "Развитие культуры и туризма на территории Кежемского района"</t>
  </si>
  <si>
    <t>Муниципальная программа "Развитие физической культуры, спорта, туризма в Кежемском районе"</t>
  </si>
  <si>
    <t>Муниципальная программа "Развитие молодежной политики в Кежемском районе"</t>
  </si>
  <si>
    <t>Муниципальная программа "Обеспечение доступным и комфортным жильем жителей Кежемского района"</t>
  </si>
  <si>
    <t xml:space="preserve">Муниципальная программа "Содействие развитию гражданского общества в Кежемском районе" </t>
  </si>
  <si>
    <t>Муниципальная программа "Управление муниципальными финансами"</t>
  </si>
  <si>
    <t>Муниципальная программа "Развитие транспортной системы Кежемского района"</t>
  </si>
  <si>
    <t>Муниципальная программа "Развитие сельского хозяйства в Кежемском районе"</t>
  </si>
  <si>
    <t xml:space="preserve">Причины невыполнения показателей*  </t>
  </si>
  <si>
    <t>Примечание, причины отклонений*</t>
  </si>
  <si>
    <t>Приложение 3</t>
  </si>
  <si>
    <t>Плановые целевые показатели и показатели результативности по программе на 2018 год</t>
  </si>
  <si>
    <t>Своевременное доведение Главным распорядителем лимитов бюджетных обязательств до подведомственных учреждений, предусмотренных законом о бюджете за отчетный год в первоначальной редакции (МКУ УО Кежемского района)</t>
  </si>
  <si>
    <t>Соблюдение сроков предоставления годовой бюджетной отчетности (МКУ УО Кежемского района)</t>
  </si>
  <si>
    <t>Своевременность представления уточненного фрагмента реестра расходных обязательств Главного распорядителя  (МКУ УО Кежемского района)</t>
  </si>
  <si>
    <t>Своевременность утверждения бюджетных смет и планов финансово-хозяйственной деятельности образовательных организаций на текущий финансовый год и плановый период в соответствии со сроками, утвержденными Муниципальным образованием Кежемского района (МКУ УО Кежемского района)</t>
  </si>
  <si>
    <t>Количество детей-сирот, детей, оставшихся без попечения родителей, а также лиц из их числа, которым необходимо приобрести жилые помещения в соответствии с соглашением о предоставлении субсидий из краевого бюджета бюджету Кежемского района</t>
  </si>
  <si>
    <t>Численность детей-сирот, детей, оставшихся без попечения родителей, а также лиц из их числа по состоянию на начало финансового года, имеющих и не реализовавших своевременно право на обеспечение жилыми помещениями</t>
  </si>
  <si>
    <t>Доля детей, оставшихся без попечения родителей, и лиц из числа детей, оставшихся без попечения родителей, состоявших на учете на получение жилого помещения, включая лиц в возрасте от 23 лет и старше, обеспеченных жилыми помещениями за отчетный год, в общей численности детей, оставшихся без попечения родителей, и лиц из их числа, состоящих на учете на получение жилого помещения, включая лиц ввозрасте от 23 лет и старше (всего на начало отчетного года)</t>
  </si>
  <si>
    <t>Удельный вес численности населения в возрасте 5-18 лет, охваченного образованием, в общей численности населения в возрасте 5-18 лет</t>
  </si>
  <si>
    <t>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</si>
  <si>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Доля выпускников муниципальных общеобразовательных учреждений,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сдавших единый государственный экзамен по данным предметам</t>
  </si>
  <si>
    <t>Доля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t>
  </si>
  <si>
    <t>Обеспеченность детей дошкольного возраста местами в дошкольных образовательных учреждениях (количество мест на 1000 детей)</t>
  </si>
  <si>
    <t>Удельный вес воспитанников дошкольных образовательных организаций, расположенных на территории Кежемского района, обучающихся по программам, соответствующим требованиям стандартов дошкольного образования, в общей численности воспитанников дошкольных образовательных организаций, расположенных на территории Кежемского района</t>
  </si>
  <si>
    <t>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t>
  </si>
  <si>
    <t>Доля муниципальных образовательных организаций, реализующих программы общего образования, здания которых находятся в аварийном состоянии или требуют капитального ремонта, в общей численности муниципальных образовательных организаций, реализующих программы общего образования</t>
  </si>
  <si>
    <t>Доля муниципальных образовательных организаций, реализующих программы общего образования, имеющих физкультурный зал, в общей численности муниципальных образовательных организаций, реализующих программы общего образования</t>
  </si>
  <si>
    <t>Доля детей с ограниченными возможностями здоровья, обучающихся в общеобразовательных организациях, имеющих лицензию и аккредитованных  по программам специальных (коррекционных) образовательных организаций, от количества детей данной категории, обучающихся в общеобразовательных организациях (с 2018 лицензия не требуется)</t>
  </si>
  <si>
    <t>Доля обучающихся общеобразовательных учреждений, охваченных психолого-педагогической и медико-социальной помощью, от общей численности  обучающихся общеобразовательных учреждений</t>
  </si>
  <si>
    <t>Охват детей в возрасте 5–18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5–18 лет)</t>
  </si>
  <si>
    <t>Удельный вес численности обучающихся по программам общего образования, участвующих в олимпиадах и конкурсах различного уровня, в общей численности, обучающихся по программам общего образования</t>
  </si>
  <si>
    <t>Доля оздоровленных детей школьного возраста</t>
  </si>
  <si>
    <t>%</t>
  </si>
  <si>
    <t>чел.</t>
  </si>
  <si>
    <t>балл</t>
  </si>
  <si>
    <t xml:space="preserve">Физкультурные залы имеют 8 общеобразовательных учреждений из 9 (отсутствует физкультурный зал в МКОУ Ирбинской СОШ). </t>
  </si>
  <si>
    <t>С 2018 лицензия не требуется</t>
  </si>
  <si>
    <t>Строительство спортзала в МКОУ Ирбинская СОШ не целесообразно (т.к. количество обучающихся 29 человек, занятия физической культурой проводятся в рекриации школы, а также на територии школы при хороших погодных условиях, лыжный спорт и другие спортивные игры), строительство пищеблока в МКОУ Яркинская НОШ где количество обучающихся 15 человек, не представляется возможным из за технических условий (т.к. школа является начальной и расположена в центре поселения,  дети имеют возможность горячего обеда осуществлять дома, во время большой перемены)</t>
  </si>
  <si>
    <t>-</t>
  </si>
  <si>
    <t>Доля архивных документов, хранящихся в нормативных условиях, в общем количестве документов хранящихся в районном архиве</t>
  </si>
  <si>
    <t>Доля оцифрованных заголовков дел (перевод в электронный формат ПК «Архивный фонд») в общем количестве дел, хранящихся в районном архиве</t>
  </si>
  <si>
    <t>Доля предоставленных документов для пользователей в читальном зале, в общем количестве документов использованных в архиве</t>
  </si>
  <si>
    <t>Динамика  количества  участников мероприятий (всего) по  сравнению с предыдущим годом</t>
  </si>
  <si>
    <t>Динамика  количества  участников      мероприятий в возрасте до 14 лет по  сравнению с предыдущим    годом (из общего числа посетителей)</t>
  </si>
  <si>
    <t>Количество проведенных мероприятий с участием детей до 14 лет</t>
  </si>
  <si>
    <t xml:space="preserve">Динамика наполняемости клубных формирований для детей до 14 лет  </t>
  </si>
  <si>
    <t>Число музейных предметов, внесенных в электронный каталог</t>
  </si>
  <si>
    <t>Доля экспонируемых музейных предметов от общего количества предметов основного музейного фонда</t>
  </si>
  <si>
    <t xml:space="preserve">Динамика количества участников мероприятий по сравнению с предыдущим годом  </t>
  </si>
  <si>
    <t>Удельный вес детей охваченных дополнительным образованием от общего числа учащихся  общеобразовательных учреждений;</t>
  </si>
  <si>
    <t>Доля детей, осваивающих дополнительные общеобразовательные предпрофессиональные  программы в образовательном учреждении</t>
  </si>
  <si>
    <t>Количество новых изданий, поступивших в фонды библиотеки</t>
  </si>
  <si>
    <t>Количество библиографических записей внесенных в электронный каталог</t>
  </si>
  <si>
    <t>Динамика количества посещений библиотек по  сравнению с предыдущим годом</t>
  </si>
  <si>
    <t>ед.</t>
  </si>
  <si>
    <t>тыс. ед.</t>
  </si>
  <si>
    <t>%.</t>
  </si>
  <si>
    <t>Удельный вес инвалидов, реализовавших индивидуальные программы реабилитации в муниципальных учреждениях социального обслуживания, от общего числа инвалидов в Кежемском районе</t>
  </si>
  <si>
    <t>Удельный вес семей с детьми, получающих меры социальной поддержки, в общей численности семей с детьми, имеющих на них право</t>
  </si>
  <si>
    <t>Доля оздоровленных детей из числа детей, находящихся в трудной жизненной ситуации, подлежащих оздоровлению в Кежемском районе</t>
  </si>
  <si>
    <t>Доля граждан, получивших услуги в учреждениях социального обслуживания населения, в общем числе граждан, обратившихся за их получением</t>
  </si>
  <si>
    <t>Среднемесячная номинальная начисленная заработная плата работников муниципальных учреждений социального обслуживания населения</t>
  </si>
  <si>
    <t>Удельный вес граждан пожилого возраста и инвалидов (взрослых и детей), получивших услуги в негосударственных учреждениях социального обслуживания, в общей численности граждан пожилого возраста и инвалидов (взрослых и детей), получивших  услуги в муниципальных учреждениях социального обслуживания</t>
  </si>
  <si>
    <t>Охват граждан пожилого возраста и инвалидов всеми видами социального обслуживания на дому (на 10000 пенсионеров)</t>
  </si>
  <si>
    <t>Удельный вес обоснованных жалоб на качество предоставления услуг муниципальными учреждениями социального обслуживания населения к общему количеству получателей данных услуг в календарном году</t>
  </si>
  <si>
    <t>Уровень удовлетворенности граждан качеством предоставления услуг муниципальными учреждениями социального обслуживания населения</t>
  </si>
  <si>
    <t>Темп роста среднемесячной  заработной платы социальных работников муниципальных учреждений социального обслуживания населения в зависимости от качества оказываемых услуг</t>
  </si>
  <si>
    <t>Уровень исполнения субвенций на реализацию переданных полномочий края</t>
  </si>
  <si>
    <t>Удельный вес обоснованных жалоб к числу граждан, которым предоставлены государственные  и муниципальные услуги по социальной поддержке в календарном году</t>
  </si>
  <si>
    <t>Доля молодежи, проживающей в Кежемском районе, получившей информационные услуги</t>
  </si>
  <si>
    <t>Количество поддержанных социально-экономических проектов, реализуемых молодежью Кежемского района</t>
  </si>
  <si>
    <t>Количество молодежи принявших участие в молодежных мероприятиях, конкурсах, проектах районного, краевого и всероссийского уровня</t>
  </si>
  <si>
    <t>Удельный вес молодых граждан, проживающих в Кежемском районе, вовлеченных в изучение истории Отечества, краеведческую деятельность, в их общей численности</t>
  </si>
  <si>
    <t>Удельный вес молодых граждан, проживающих в Кежемском районе, являющихся  членами или участниками патриотических объединений Красноярского края, прошедших подготовку к военной службе в Вооруженных Силах Российской Федерации, в их общей численности</t>
  </si>
  <si>
    <t>Удельный вес молодых граждан, проживающих в Кежемском районе, вовлеченных в добровольческую деятельность, в их общей численности</t>
  </si>
  <si>
    <t>тыс.руб.</t>
  </si>
  <si>
    <t>Молодые семьи, обеспеченные жильем на территории Кежемского района</t>
  </si>
  <si>
    <t>кол-во семей</t>
  </si>
  <si>
    <t>Доля граждан от общего количества населения района, активно участвующих в решении социально экономических проблем жителей (доля граждан от общего числа жителей района – члены НКО, инициативные проектные группы, добровольцы, участники мероприятий, благополучатели)</t>
  </si>
  <si>
    <t>Уровень удовлетворенности населения Кежемского района информационной доступностью гражданской тематики (% от числа опрошенных)</t>
  </si>
  <si>
    <t>Уровень прироста поддержанных и реализуемых социальных проектов  населением района</t>
  </si>
  <si>
    <t>Уровень прироста жителей района, принявших участие в ходе реализации социальных проектов</t>
  </si>
  <si>
    <t>Уровень прироста социально ориентированных некоммерческих организаций, получивших консультационную поддержку</t>
  </si>
  <si>
    <t>Доля социально ориентированных некоммерческих организаций от общего числа зарегистрированных в районе, получивших финансовую поддержку</t>
  </si>
  <si>
    <t>Доля граждан от общего числа жителей района, воспользовавшихся информационным пространством, способствующим развитию гражданских инициатив</t>
  </si>
  <si>
    <t>Объем распространения информации в печатных изданиях и сети Интернет</t>
  </si>
  <si>
    <t>Объем распространения социальной рекламы в эфирных средствах массовой коммуникации</t>
  </si>
  <si>
    <t>Доля социально ориентированных некоммерческих организаций от общего числа зарегистрированных в районе, получивших поддержку в области подготовки, переподготовки, повышения квалификации кадров  и консультационной поддержки</t>
  </si>
  <si>
    <t>Посещ./
/экз. совокупного тиража</t>
  </si>
  <si>
    <t>минут</t>
  </si>
  <si>
    <t>Муниципальная программа "Развитие субъектов малого и среднего предпринимательства в Кежемском районе"</t>
  </si>
  <si>
    <t>"Развитие субъектов малого и среднего предпринимательства в Кежемском районе"</t>
  </si>
  <si>
    <t>Объем привлеченных  инвестиций в секторе малого и среднего предпринимательства (ежегодно)</t>
  </si>
  <si>
    <t>Количество субъектов малого и среднего предпринимательства, получивших муниципальную поддержку (ежегодно)</t>
  </si>
  <si>
    <t>Количество созданных рабочих мест (включая вновь зарегистрированных индивидуальных предпринимателей) в секторе малого и среднего предпринимательства при реализации подпрограммы (ежегодно)</t>
  </si>
  <si>
    <t>млн.руб.</t>
  </si>
  <si>
    <t>единиц</t>
  </si>
  <si>
    <t>Доля расходов на обслуживание муниципального долга в расходах районного бюджета (без учета субвенций)</t>
  </si>
  <si>
    <t>Доля расходов районного бюджета, формируемых в рамках муниципальных программ Кежемского района</t>
  </si>
  <si>
    <t>Обеспечение минимального размера бюджетной обеспеченности муниципальных образований Кежемского района после выравнивания</t>
  </si>
  <si>
    <t>процент</t>
  </si>
  <si>
    <t xml:space="preserve">Отсутствие в бюджетах муниципальных образований Кежемского района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 </t>
  </si>
  <si>
    <t>тыс. рублей</t>
  </si>
  <si>
    <t>Отношение объема муниципального долга Кежемского района по состоянию на 1 января года, следующего за отчетным, к общему годовому объему доходов районного бюджета в отчетном финансовом году (без учета объемов безвозмездных поступлений)</t>
  </si>
  <si>
    <t xml:space="preserve">Доля расходов на обслуживание муниципального долга в расходах районного бюджета (без учета субвенций) </t>
  </si>
  <si>
    <t>Уровень зарегистрированной безработицы (к трудоспособному населению в трудоспособном возрасте)</t>
  </si>
  <si>
    <t>Численность безработных граждан</t>
  </si>
  <si>
    <t>Коэффициент напряженности на регистрируемом рынке труда</t>
  </si>
  <si>
    <t>Численность граждан, трудоустроенных на общественные работы при содействии КГКУ «ЦЗН Кежемского района»</t>
  </si>
  <si>
    <t xml:space="preserve">Численность временно трудоустроенных граждан, испытывающих трудности в поиске работы </t>
  </si>
  <si>
    <t>Численность временно трудоустроенных несовершеннолетних граждан в возрасте от 14 до 18 лет в свободное от учебы время при содействии КГКУ «ЦЗН Кежемского района»</t>
  </si>
  <si>
    <t>Недостаточное финансирование</t>
  </si>
  <si>
    <t>Количество спортивных сооружений   в Кежемском районе</t>
  </si>
  <si>
    <t>Доля граждан Кежемского района, систематически занимающихся физической  культурой и спортом, в общей численности населения района</t>
  </si>
  <si>
    <t>Численность занимающихся в муниципальных образовательных учреждениях дополнительного образования детей физкультурно-спортивной направленности</t>
  </si>
  <si>
    <t>Уменьшение общего количества детей в районе, отъезд из района 2 тренеров ДЮСШ, недостаточное финансирование</t>
  </si>
  <si>
    <t>Количество спортсменов Кежемского района в составе сборных команд Красноярского края по видам спорта</t>
  </si>
  <si>
    <t>в том числе  по олимпийским видам спорта</t>
  </si>
  <si>
    <t>Численность населения, принявшего участие в выполнении нормативов Всероссийского физкультурно-спортивного комплекса «Готов к труду и обороне» (ГТО)</t>
  </si>
  <si>
    <t>Единовременная пропускная способность спортивных сооружений Кежемского района</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</si>
  <si>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t>
  </si>
  <si>
    <t>Доля граждан Кежемского района, занимающихся физической культурой и спортом по  месту работы, в общей численности населения, занятого в экономике</t>
  </si>
  <si>
    <t>Количество жителей Кежемского района, проинформированных о мероприятиях в области физической культуры и спорта</t>
  </si>
  <si>
    <t>тыс. чел.</t>
  </si>
  <si>
    <t xml:space="preserve">Доля учащихся и студентов Кежемского района, систематически занимающихся физической культурой и спортом, в общей численности учащихся и студентов </t>
  </si>
  <si>
    <t>Доля граждан, выполнивших нормативы ВФСК ГТО, в общей численности населения, принявшего участие в выполнении нормативов ВФСК ГТО</t>
  </si>
  <si>
    <t>Количество краевых и всероссийских соревнований, в которых принимают участие спортсмены Кежемского района</t>
  </si>
  <si>
    <t>Количество спортсменов Кежемского района, принявших участие в краевых и всероссийских соревнованиях</t>
  </si>
  <si>
    <t>Количество  медалей, завоеванных спортсменами Кежемского района на краевых и всероссийских соревнованиях</t>
  </si>
  <si>
    <t>Численность занимающихся в муниципальных учреждениях дополнительного образования детей физкультурно-спортивной направленности</t>
  </si>
  <si>
    <t>Количество специалистов, обучившихся на курсах повышения квалификации и семинарах</t>
  </si>
  <si>
    <t>Уровень собираемости платежей за предоставленные жилищно-коммунальные услуги</t>
  </si>
  <si>
    <t>Снижение убыточности энергоснабжающих предприятий, связанная с применением государственных регулируемых цен на электрическую энергию</t>
  </si>
  <si>
    <r>
      <rPr>
        <b/>
        <i/>
        <sz val="11"/>
        <rFont val="Times New Roman"/>
        <family val="1"/>
        <charset val="204"/>
      </rPr>
      <t>Подпрограмма № 1</t>
    </r>
    <r>
      <rPr>
        <i/>
        <sz val="11"/>
        <rFont val="Times New Roman"/>
        <family val="1"/>
        <charset val="204"/>
      </rPr>
      <t xml:space="preserve"> "Развитие дошкольного, общего и дополнительного образования детей"</t>
    </r>
  </si>
  <si>
    <r>
      <rPr>
        <b/>
        <i/>
        <sz val="11"/>
        <rFont val="Times New Roman"/>
        <family val="1"/>
        <charset val="204"/>
      </rPr>
      <t>Подпрограмма № 2</t>
    </r>
    <r>
      <rPr>
        <i/>
        <sz val="11"/>
        <rFont val="Times New Roman"/>
        <family val="1"/>
        <charset val="204"/>
      </rPr>
      <t xml:space="preserve"> "Государственная поддержка детей-сирот и детей, оставшихся без попечения родителей"</t>
    </r>
  </si>
  <si>
    <r>
      <rPr>
        <b/>
        <i/>
        <sz val="11"/>
        <rFont val="Times New Roman"/>
        <family val="1"/>
        <charset val="204"/>
      </rPr>
      <t>Подпрограмма № 3</t>
    </r>
    <r>
      <rPr>
        <i/>
        <sz val="11"/>
        <rFont val="Times New Roman"/>
        <family val="1"/>
        <charset val="204"/>
      </rPr>
      <t xml:space="preserve"> "Обеспечение реализации муниципальной программы и прочие мероприятия в области образования"</t>
    </r>
  </si>
  <si>
    <r>
      <rPr>
        <b/>
        <i/>
        <sz val="11"/>
        <rFont val="Times New Roman"/>
        <family val="1"/>
        <charset val="204"/>
      </rPr>
      <t>Подпрограмма № 1</t>
    </r>
    <r>
      <rPr>
        <i/>
        <sz val="11"/>
        <rFont val="Times New Roman"/>
        <family val="1"/>
        <charset val="204"/>
      </rPr>
      <t xml:space="preserve"> "Повышение качества жизни отдельных категорий граждан в т. ч.  инвалидов, степени их социальной защищенности"</t>
    </r>
  </si>
  <si>
    <r>
      <rPr>
        <b/>
        <i/>
        <sz val="11"/>
        <rFont val="Times New Roman"/>
        <family val="1"/>
        <charset val="204"/>
      </rPr>
      <t>Подпрограмма № 3</t>
    </r>
    <r>
      <rPr>
        <i/>
        <sz val="11"/>
        <rFont val="Times New Roman"/>
        <family val="1"/>
        <charset val="204"/>
      </rPr>
      <t xml:space="preserve"> "Обеспечение социальной поддержки граждан на оплату жилого помещения и коммунальных услуг"</t>
    </r>
  </si>
  <si>
    <r>
      <rPr>
        <b/>
        <i/>
        <sz val="11"/>
        <rFont val="Times New Roman"/>
        <family val="1"/>
        <charset val="204"/>
      </rPr>
      <t>Подпрограмма № 2</t>
    </r>
    <r>
      <rPr>
        <i/>
        <sz val="11"/>
        <rFont val="Times New Roman"/>
        <family val="1"/>
        <charset val="204"/>
      </rPr>
      <t xml:space="preserve"> "Социальная поддержка семей, имеющих детей"</t>
    </r>
  </si>
  <si>
    <r>
      <rPr>
        <b/>
        <i/>
        <sz val="11"/>
        <rFont val="Times New Roman"/>
        <family val="1"/>
        <charset val="204"/>
      </rPr>
      <t>Подпрограмма № 4</t>
    </r>
    <r>
      <rPr>
        <i/>
        <sz val="11"/>
        <rFont val="Times New Roman"/>
        <family val="1"/>
        <charset val="204"/>
      </rPr>
      <t xml:space="preserve"> "Повышение качества и доступности социальных услуг населению"</t>
    </r>
  </si>
  <si>
    <r>
      <rPr>
        <b/>
        <i/>
        <sz val="11"/>
        <rFont val="Times New Roman"/>
        <family val="1"/>
        <charset val="204"/>
      </rPr>
      <t>Подпрограмма № 5</t>
    </r>
    <r>
      <rPr>
        <i/>
        <sz val="11"/>
        <rFont val="Times New Roman"/>
        <family val="1"/>
        <charset val="204"/>
      </rPr>
      <t xml:space="preserve"> "Обеспечение реализации муниципальной  программы и прочие мероприятия"</t>
    </r>
  </si>
  <si>
    <r>
      <rPr>
        <b/>
        <i/>
        <sz val="11"/>
        <rFont val="Times New Roman"/>
        <family val="1"/>
        <charset val="204"/>
      </rPr>
      <t>Подпрограмма № 1</t>
    </r>
    <r>
      <rPr>
        <i/>
        <sz val="11"/>
        <rFont val="Times New Roman"/>
        <family val="1"/>
        <charset val="204"/>
      </rPr>
      <t xml:space="preserve"> "Модернизация, реконструкция и капитальный ремонт объектов коммунальной инфраструктуры Кежемского района" </t>
    </r>
  </si>
  <si>
    <r>
      <rPr>
        <b/>
        <i/>
        <sz val="11"/>
        <rFont val="Times New Roman"/>
        <family val="1"/>
        <charset val="204"/>
      </rPr>
      <t>Подпрограмма № 2</t>
    </r>
    <r>
      <rPr>
        <i/>
        <sz val="11"/>
        <rFont val="Times New Roman"/>
        <family val="1"/>
        <charset val="204"/>
      </rPr>
      <t xml:space="preserve"> "Обеспечение реализации муниципальной программы и прочие мероприятия" </t>
    </r>
  </si>
  <si>
    <r>
      <rPr>
        <b/>
        <i/>
        <sz val="11"/>
        <rFont val="Times New Roman"/>
        <family val="1"/>
        <charset val="204"/>
      </rPr>
      <t xml:space="preserve">Подпрограмма № 1 </t>
    </r>
    <r>
      <rPr>
        <i/>
        <sz val="11"/>
        <rFont val="Times New Roman"/>
        <family val="1"/>
        <charset val="204"/>
      </rPr>
      <t>"Обращение с отходами на территории Кежемского района"</t>
    </r>
  </si>
  <si>
    <r>
      <rPr>
        <b/>
        <i/>
        <sz val="11"/>
        <rFont val="Times New Roman"/>
        <family val="1"/>
        <charset val="204"/>
      </rPr>
      <t>Подпрограмма № 1</t>
    </r>
    <r>
      <rPr>
        <i/>
        <sz val="11"/>
        <rFont val="Times New Roman"/>
        <family val="1"/>
        <charset val="204"/>
      </rPr>
      <t xml:space="preserve"> "Развитие архивного дела в Кежемском районе"</t>
    </r>
  </si>
  <si>
    <r>
      <rPr>
        <b/>
        <i/>
        <sz val="11"/>
        <color indexed="8"/>
        <rFont val="Times New Roman"/>
        <family val="1"/>
        <charset val="204"/>
      </rPr>
      <t>Подпрограмма № 2</t>
    </r>
    <r>
      <rPr>
        <i/>
        <sz val="11"/>
        <color indexed="8"/>
        <rFont val="Times New Roman"/>
        <family val="1"/>
        <charset val="204"/>
      </rPr>
      <t xml:space="preserve"> "Обеспечение деятельности и развитие учреждений культуры клубного типа"</t>
    </r>
  </si>
  <si>
    <r>
      <rPr>
        <b/>
        <i/>
        <sz val="11"/>
        <color indexed="8"/>
        <rFont val="Times New Roman"/>
        <family val="1"/>
        <charset val="204"/>
      </rPr>
      <t>Подпрограмма № 3</t>
    </r>
    <r>
      <rPr>
        <i/>
        <sz val="11"/>
        <color indexed="8"/>
        <rFont val="Times New Roman"/>
        <family val="1"/>
        <charset val="204"/>
      </rPr>
      <t xml:space="preserve"> "Обеспечение деятельности и развитие музеев"</t>
    </r>
  </si>
  <si>
    <r>
      <rPr>
        <b/>
        <i/>
        <sz val="11"/>
        <color indexed="8"/>
        <rFont val="Times New Roman"/>
        <family val="1"/>
        <charset val="204"/>
      </rPr>
      <t>Подпрограмма № 4</t>
    </r>
    <r>
      <rPr>
        <i/>
        <sz val="11"/>
        <color indexed="8"/>
        <rFont val="Times New Roman"/>
        <family val="1"/>
        <charset val="204"/>
      </rPr>
      <t xml:space="preserve"> "Обеспечение деятельности и развитие учреждений библиотечного типа"</t>
    </r>
  </si>
  <si>
    <r>
      <rPr>
        <b/>
        <i/>
        <sz val="11"/>
        <color indexed="8"/>
        <rFont val="Times New Roman"/>
        <family val="1"/>
        <charset val="204"/>
      </rPr>
      <t>Подпрограмма № 5</t>
    </r>
    <r>
      <rPr>
        <i/>
        <sz val="11"/>
        <color indexed="8"/>
        <rFont val="Times New Roman"/>
        <family val="1"/>
        <charset val="204"/>
      </rPr>
      <t xml:space="preserve"> "Обеспечение деятельности и развитие учреждений дополнительного образования в области культуры"</t>
    </r>
  </si>
  <si>
    <r>
      <rPr>
        <b/>
        <i/>
        <sz val="11"/>
        <rFont val="Times New Roman"/>
        <family val="1"/>
        <charset val="204"/>
      </rPr>
      <t>Подпрограмма № 1</t>
    </r>
    <r>
      <rPr>
        <i/>
        <sz val="11"/>
        <rFont val="Times New Roman"/>
        <family val="1"/>
        <charset val="204"/>
      </rPr>
      <t xml:space="preserve"> "Развитие массовой физической культуры и спорта"</t>
    </r>
  </si>
  <si>
    <r>
      <rPr>
        <b/>
        <i/>
        <sz val="11"/>
        <rFont val="Times New Roman"/>
        <family val="1"/>
        <charset val="204"/>
      </rPr>
      <t>Подпрограмма № 2</t>
    </r>
    <r>
      <rPr>
        <i/>
        <sz val="11"/>
        <rFont val="Times New Roman"/>
        <family val="1"/>
        <charset val="204"/>
      </rPr>
      <t xml:space="preserve"> "Развитие спорта высших достижений"</t>
    </r>
  </si>
  <si>
    <r>
      <rPr>
        <b/>
        <i/>
        <sz val="11"/>
        <rFont val="Times New Roman"/>
        <family val="1"/>
        <charset val="204"/>
      </rPr>
      <t>Подпрограмма № 3</t>
    </r>
    <r>
      <rPr>
        <i/>
        <sz val="11"/>
        <rFont val="Times New Roman"/>
        <family val="1"/>
        <charset val="204"/>
      </rPr>
      <t xml:space="preserve"> "Развитие системы подготовки спортивного резерва"</t>
    </r>
  </si>
  <si>
    <r>
      <rPr>
        <b/>
        <i/>
        <sz val="11"/>
        <rFont val="Times New Roman"/>
        <family val="1"/>
        <charset val="204"/>
      </rPr>
      <t>Подпрограмма № 1</t>
    </r>
    <r>
      <rPr>
        <i/>
        <sz val="11"/>
        <rFont val="Times New Roman"/>
        <family val="1"/>
        <charset val="204"/>
      </rPr>
      <t xml:space="preserve"> "Вовлечение молодежи Кежемского района в социальную практику"</t>
    </r>
  </si>
  <si>
    <r>
      <rPr>
        <b/>
        <i/>
        <sz val="11"/>
        <rFont val="Times New Roman"/>
        <family val="1"/>
        <charset val="204"/>
      </rPr>
      <t>Подпрограмма № 2</t>
    </r>
    <r>
      <rPr>
        <i/>
        <sz val="11"/>
        <rFont val="Times New Roman"/>
        <family val="1"/>
        <charset val="204"/>
      </rPr>
      <t xml:space="preserve"> "Патриотическое воспитание молодежи Кежемского района"</t>
    </r>
  </si>
  <si>
    <r>
      <rPr>
        <b/>
        <i/>
        <sz val="11"/>
        <rFont val="Times New Roman"/>
        <family val="1"/>
        <charset val="204"/>
      </rPr>
      <t>Подпрограмма № 1</t>
    </r>
    <r>
      <rPr>
        <i/>
        <sz val="11"/>
        <rFont val="Times New Roman"/>
        <family val="1"/>
        <charset val="204"/>
      </rPr>
      <t xml:space="preserve"> "Дороги Кежемского района"</t>
    </r>
  </si>
  <si>
    <r>
      <rPr>
        <b/>
        <i/>
        <sz val="11"/>
        <rFont val="Times New Roman"/>
        <family val="1"/>
        <charset val="204"/>
      </rPr>
      <t>Подпрограмма № 2</t>
    </r>
    <r>
      <rPr>
        <i/>
        <sz val="11"/>
        <rFont val="Times New Roman"/>
        <family val="1"/>
        <charset val="204"/>
      </rPr>
      <t xml:space="preserve"> "Развитие транспортного комплекса Кежемского района" </t>
    </r>
  </si>
  <si>
    <r>
      <rPr>
        <b/>
        <i/>
        <sz val="11"/>
        <color indexed="8"/>
        <rFont val="Times New Roman"/>
        <family val="1"/>
        <charset val="204"/>
      </rPr>
      <t>Подпрограмма № 2</t>
    </r>
    <r>
      <rPr>
        <i/>
        <sz val="11"/>
        <color indexed="8"/>
        <rFont val="Times New Roman"/>
        <family val="1"/>
        <charset val="204"/>
      </rPr>
      <t xml:space="preserve"> "Устойчивое развитие сельских территорий"</t>
    </r>
  </si>
  <si>
    <r>
      <rPr>
        <b/>
        <i/>
        <sz val="11"/>
        <rFont val="Times New Roman"/>
        <family val="1"/>
        <charset val="204"/>
      </rPr>
      <t>Подпрограмма № 3</t>
    </r>
    <r>
      <rPr>
        <i/>
        <sz val="11"/>
        <rFont val="Times New Roman"/>
        <family val="1"/>
        <charset val="204"/>
      </rPr>
      <t xml:space="preserve"> "Обеспечение реализации муниципальной программы и прочие мероприятия" </t>
    </r>
  </si>
  <si>
    <r>
      <rPr>
        <b/>
        <i/>
        <sz val="11"/>
        <rFont val="Times New Roman"/>
        <family val="1"/>
        <charset val="204"/>
      </rPr>
      <t xml:space="preserve">Подпрограмма № 1 </t>
    </r>
    <r>
      <rPr>
        <i/>
        <sz val="11"/>
        <rFont val="Times New Roman"/>
        <family val="1"/>
        <charset val="204"/>
      </rPr>
      <t>"Управление муниципальным имуществом Кежемского района"</t>
    </r>
  </si>
  <si>
    <r>
      <rPr>
        <b/>
        <i/>
        <sz val="11"/>
        <rFont val="Times New Roman"/>
        <family val="1"/>
        <charset val="204"/>
      </rPr>
      <t>Подпрограмма № 2</t>
    </r>
    <r>
      <rPr>
        <i/>
        <sz val="11"/>
        <rFont val="Times New Roman"/>
        <family val="1"/>
        <charset val="204"/>
      </rPr>
      <t xml:space="preserve"> "Строительство объектов коммунальной и транспортной инфраструктуры в Кежемском районе с целью развития жилищного строительства"</t>
    </r>
  </si>
  <si>
    <r>
      <rPr>
        <b/>
        <i/>
        <sz val="11"/>
        <rFont val="Times New Roman"/>
        <family val="1"/>
        <charset val="204"/>
      </rPr>
      <t>Подпрограмма № 3</t>
    </r>
    <r>
      <rPr>
        <i/>
        <sz val="11"/>
        <rFont val="Times New Roman"/>
        <family val="1"/>
        <charset val="204"/>
      </rPr>
      <t xml:space="preserve"> "Обеспечение  жильем работников отраслей бюджетной сферы на территории Кежемского района на 2014 – 2016  гг."</t>
    </r>
  </si>
  <si>
    <r>
      <rPr>
        <b/>
        <i/>
        <sz val="11"/>
        <rFont val="Times New Roman"/>
        <family val="1"/>
        <charset val="204"/>
      </rPr>
      <t>Подпрограмма № 4</t>
    </r>
    <r>
      <rPr>
        <i/>
        <sz val="11"/>
        <rFont val="Times New Roman"/>
        <family val="1"/>
        <charset val="204"/>
      </rPr>
      <t xml:space="preserve"> "Обеспечение жильем молодых семей в Кежемском районе"</t>
    </r>
  </si>
  <si>
    <r>
      <rPr>
        <b/>
        <i/>
        <sz val="11"/>
        <rFont val="Times New Roman"/>
        <family val="1"/>
        <charset val="204"/>
      </rPr>
      <t>Подпрограмма № 5</t>
    </r>
    <r>
      <rPr>
        <i/>
        <sz val="11"/>
        <rFont val="Times New Roman"/>
        <family val="1"/>
        <charset val="204"/>
      </rPr>
      <t xml:space="preserve"> "Территориальное планирование, градостроительное зонирование и документация по планировке территории района"</t>
    </r>
  </si>
  <si>
    <r>
      <rPr>
        <b/>
        <i/>
        <sz val="11"/>
        <rFont val="Times New Roman"/>
        <family val="1"/>
        <charset val="204"/>
      </rPr>
      <t>Подпрограмма № 1</t>
    </r>
    <r>
      <rPr>
        <i/>
        <sz val="11"/>
        <rFont val="Times New Roman"/>
        <family val="1"/>
        <charset val="204"/>
      </rPr>
      <t xml:space="preserve"> "Создание условий для эффективного управления муниципальными финансами, повышения устойчивости бюджетов муниципальных образований Кежемского района"</t>
    </r>
  </si>
  <si>
    <r>
      <rPr>
        <b/>
        <i/>
        <sz val="11"/>
        <rFont val="Times New Roman"/>
        <family val="1"/>
        <charset val="204"/>
      </rPr>
      <t>Подпрограмма № 2</t>
    </r>
    <r>
      <rPr>
        <i/>
        <sz val="11"/>
        <rFont val="Times New Roman"/>
        <family val="1"/>
        <charset val="204"/>
      </rPr>
      <t xml:space="preserve"> "Управление муниципальным долгом Кежемского района"</t>
    </r>
  </si>
  <si>
    <r>
      <rPr>
        <b/>
        <i/>
        <sz val="11"/>
        <rFont val="Times New Roman"/>
        <family val="1"/>
        <charset val="204"/>
      </rPr>
      <t>Подпрограмма № 1</t>
    </r>
    <r>
      <rPr>
        <i/>
        <sz val="11"/>
        <rFont val="Times New Roman"/>
        <family val="1"/>
        <charset val="204"/>
      </rPr>
      <t xml:space="preserve"> "Поддержка социально ориентированных некоммерческих организаций"</t>
    </r>
  </si>
  <si>
    <r>
      <rPr>
        <b/>
        <i/>
        <sz val="11"/>
        <rFont val="Times New Roman"/>
        <family val="1"/>
        <charset val="204"/>
      </rPr>
      <t>Подпрограмма № 2 "</t>
    </r>
    <r>
      <rPr>
        <i/>
        <sz val="11"/>
        <rFont val="Times New Roman"/>
        <family val="1"/>
        <charset val="204"/>
      </rPr>
      <t>Обеспечение информационными ресурсами гражданской тематики населения Кежемского района  для решения социальных проблем"</t>
    </r>
  </si>
  <si>
    <r>
      <rPr>
        <b/>
        <i/>
        <sz val="11"/>
        <color theme="1"/>
        <rFont val="Perpetua Titling MT"/>
        <family val="1"/>
      </rPr>
      <t>Подпрограмма №1</t>
    </r>
    <r>
      <rPr>
        <b/>
        <sz val="11"/>
        <color theme="1"/>
        <rFont val="Perpetua Titling MT"/>
        <family val="1"/>
      </rPr>
      <t xml:space="preserve"> </t>
    </r>
    <r>
      <rPr>
        <sz val="11"/>
        <color theme="1"/>
        <rFont val="Perpetua Titling MT"/>
        <family val="1"/>
      </rPr>
      <t>«Развитие дошкольного, общего и дополнительного образования детей»</t>
    </r>
  </si>
  <si>
    <r>
      <rPr>
        <b/>
        <i/>
        <sz val="11"/>
        <color theme="1"/>
        <rFont val="Perpetua Titling MT"/>
        <family val="1"/>
      </rPr>
      <t xml:space="preserve">Подпрограмма №2 </t>
    </r>
    <r>
      <rPr>
        <sz val="11"/>
        <color theme="1"/>
        <rFont val="Perpetua Titling MT"/>
        <family val="1"/>
      </rPr>
      <t>«Господдержка детей сирот, и детей, оставшихся без попечения родителей»</t>
    </r>
  </si>
  <si>
    <r>
      <rPr>
        <b/>
        <i/>
        <sz val="11"/>
        <color theme="1"/>
        <rFont val="Perpetua Titling MT"/>
        <family val="1"/>
      </rPr>
      <t>Подпрограмма №3</t>
    </r>
    <r>
      <rPr>
        <b/>
        <sz val="11"/>
        <color theme="1"/>
        <rFont val="Perpetua Titling MT"/>
        <family val="1"/>
      </rPr>
      <t xml:space="preserve"> </t>
    </r>
    <r>
      <rPr>
        <sz val="11"/>
        <color theme="1"/>
        <rFont val="Perpetua Titling MT"/>
        <family val="1"/>
      </rPr>
      <t xml:space="preserve">«Обеспечение реализации муниципальной программы и прочие мероприятия в области образования» </t>
    </r>
  </si>
  <si>
    <r>
      <rPr>
        <b/>
        <i/>
        <sz val="11"/>
        <color theme="1"/>
        <rFont val="Times New Roman"/>
        <family val="1"/>
        <charset val="204"/>
      </rPr>
      <t xml:space="preserve">Подпрограмма 1 </t>
    </r>
    <r>
      <rPr>
        <sz val="11"/>
        <color theme="1"/>
        <rFont val="Times New Roman"/>
        <family val="1"/>
        <charset val="204"/>
      </rPr>
      <t xml:space="preserve">«Повышение качества жизни отдельных категорий граждан, в т. ч. инвалидов, степени их социальной защищенности» </t>
    </r>
  </si>
  <si>
    <r>
      <rPr>
        <b/>
        <i/>
        <sz val="11"/>
        <color theme="1"/>
        <rFont val="Times New Roman"/>
        <family val="1"/>
        <charset val="204"/>
      </rPr>
      <t xml:space="preserve">Подпрограмма 2 </t>
    </r>
    <r>
      <rPr>
        <sz val="11"/>
        <color theme="1"/>
        <rFont val="Times New Roman"/>
        <family val="1"/>
        <charset val="204"/>
      </rPr>
      <t>«Социальная поддержка семей, имеющих детей»</t>
    </r>
  </si>
  <si>
    <r>
      <rPr>
        <b/>
        <i/>
        <sz val="11"/>
        <color theme="1"/>
        <rFont val="Times New Roman"/>
        <family val="1"/>
        <charset val="204"/>
      </rPr>
      <t xml:space="preserve">Подпрограмма 4 </t>
    </r>
    <r>
      <rPr>
        <sz val="11"/>
        <color theme="1"/>
        <rFont val="Times New Roman"/>
        <family val="1"/>
        <charset val="204"/>
      </rPr>
      <t>"Повышение качества и доступности социальных услуг населению"</t>
    </r>
  </si>
  <si>
    <r>
      <rPr>
        <b/>
        <i/>
        <sz val="11"/>
        <color theme="1"/>
        <rFont val="Times New Roman"/>
        <family val="1"/>
        <charset val="204"/>
      </rPr>
      <t xml:space="preserve">Подпрограмма 5 </t>
    </r>
    <r>
      <rPr>
        <sz val="11"/>
        <color theme="1"/>
        <rFont val="Times New Roman"/>
        <family val="1"/>
        <charset val="204"/>
      </rPr>
      <t>"Обеспечение реализации муниципальной  программы и прочие мероприятия"</t>
    </r>
  </si>
  <si>
    <r>
      <rPr>
        <b/>
        <i/>
        <sz val="11"/>
        <color theme="1"/>
        <rFont val="Perpetua Titling MT"/>
        <family val="1"/>
      </rPr>
      <t>Подпрограмма №1</t>
    </r>
    <r>
      <rPr>
        <sz val="11"/>
        <color theme="1"/>
        <rFont val="Perpetua Titling MT"/>
        <family val="1"/>
      </rPr>
      <t xml:space="preserve">  «Модернизация, реконструкция и капитальный ремонт объектов коммунальной инфраструктуры Кежемского района»</t>
    </r>
  </si>
  <si>
    <r>
      <rPr>
        <b/>
        <i/>
        <sz val="11"/>
        <color theme="1"/>
        <rFont val="Perpetua Titling MT"/>
        <family val="1"/>
      </rPr>
      <t xml:space="preserve">Подпрограмма №2 </t>
    </r>
    <r>
      <rPr>
        <sz val="11"/>
        <color theme="1"/>
        <rFont val="Perpetua Titling MT"/>
        <family val="1"/>
      </rPr>
      <t>«Обеспечение реализации муниципальной программы и прочие мероприятия»</t>
    </r>
  </si>
  <si>
    <r>
      <rPr>
        <b/>
        <i/>
        <sz val="11"/>
        <color theme="1"/>
        <rFont val="Perpetua Titling MT"/>
        <family val="1"/>
      </rPr>
      <t xml:space="preserve">Подпрограмма 1 </t>
    </r>
    <r>
      <rPr>
        <sz val="11"/>
        <color theme="1"/>
        <rFont val="Perpetua Titling MT"/>
        <family val="1"/>
      </rPr>
      <t>"Обращение с отходами на территории Кежемского района"</t>
    </r>
  </si>
  <si>
    <r>
      <rPr>
        <b/>
        <i/>
        <sz val="11"/>
        <color theme="1"/>
        <rFont val="Perpetua Titling MT"/>
        <family val="1"/>
      </rPr>
      <t>Подпрограмма 1</t>
    </r>
    <r>
      <rPr>
        <sz val="11"/>
        <color theme="1"/>
        <rFont val="Perpetua Titling MT"/>
        <family val="1"/>
      </rPr>
      <t xml:space="preserve"> «Развитие архивного дела в Кежемском районе»</t>
    </r>
  </si>
  <si>
    <r>
      <rPr>
        <b/>
        <i/>
        <sz val="11"/>
        <color theme="1"/>
        <rFont val="Perpetua Titling MT"/>
        <family val="1"/>
      </rPr>
      <t>Подпрограмма 2</t>
    </r>
    <r>
      <rPr>
        <sz val="11"/>
        <color theme="1"/>
        <rFont val="Perpetua Titling MT"/>
        <family val="1"/>
      </rPr>
      <t xml:space="preserve"> "Обеспечение деятельности и развитие учреждений культуры клубного тип"</t>
    </r>
  </si>
  <si>
    <r>
      <rPr>
        <b/>
        <i/>
        <sz val="11"/>
        <color theme="1"/>
        <rFont val="Perpetua Titling MT"/>
        <family val="1"/>
      </rPr>
      <t>Подпрограмма 3</t>
    </r>
    <r>
      <rPr>
        <sz val="11"/>
        <color theme="1"/>
        <rFont val="Perpetua Titling MT"/>
        <family val="1"/>
      </rPr>
      <t xml:space="preserve"> "Обеспечение деятельности и развитие музеев"</t>
    </r>
  </si>
  <si>
    <r>
      <rPr>
        <b/>
        <i/>
        <sz val="11"/>
        <color theme="1"/>
        <rFont val="Times New Roman"/>
        <family val="1"/>
        <charset val="204"/>
      </rPr>
      <t>Подпрограмма 4</t>
    </r>
    <r>
      <rPr>
        <sz val="11"/>
        <color theme="1"/>
        <rFont val="Times New Roman"/>
        <family val="1"/>
        <charset val="204"/>
      </rPr>
      <t xml:space="preserve"> "Обеспечение деятельности и развитие учреждений библиотечного типа"</t>
    </r>
  </si>
  <si>
    <r>
      <rPr>
        <b/>
        <i/>
        <sz val="11"/>
        <color theme="1"/>
        <rFont val="Times New Roman"/>
        <family val="1"/>
        <charset val="204"/>
      </rPr>
      <t>Подпрограмма 5</t>
    </r>
    <r>
      <rPr>
        <sz val="11"/>
        <color theme="1"/>
        <rFont val="Times New Roman"/>
        <family val="1"/>
        <charset val="204"/>
      </rPr>
      <t xml:space="preserve"> "Обеспечение деятельности и развитие учреждений дополнительного образования в области культуры "</t>
    </r>
  </si>
  <si>
    <r>
      <rPr>
        <b/>
        <i/>
        <sz val="11"/>
        <color theme="1"/>
        <rFont val="Times New Roman"/>
        <family val="1"/>
        <charset val="204"/>
      </rPr>
      <t>Подпрограмма 6</t>
    </r>
    <r>
      <rPr>
        <sz val="11"/>
        <color theme="1"/>
        <rFont val="Times New Roman"/>
        <family val="1"/>
        <charset val="204"/>
      </rPr>
      <t xml:space="preserve"> "Обеспечение деятельности прочих учреждений, осуществляющих деятельность по ведению бухгалтерского учета"</t>
    </r>
  </si>
  <si>
    <r>
      <rPr>
        <b/>
        <i/>
        <sz val="11"/>
        <color theme="1"/>
        <rFont val="Times New Roman"/>
        <family val="1"/>
        <charset val="204"/>
      </rPr>
      <t>Подпрограмма 1</t>
    </r>
    <r>
      <rPr>
        <sz val="11"/>
        <color theme="1"/>
        <rFont val="Times New Roman"/>
        <family val="1"/>
        <charset val="204"/>
      </rPr>
      <t xml:space="preserve"> "Развитие массовой физической культуры и спорта"</t>
    </r>
  </si>
  <si>
    <r>
      <rPr>
        <b/>
        <i/>
        <sz val="11"/>
        <color theme="1"/>
        <rFont val="Times New Roman"/>
        <family val="1"/>
        <charset val="204"/>
      </rPr>
      <t>Подпрограмма 2</t>
    </r>
    <r>
      <rPr>
        <sz val="11"/>
        <color theme="1"/>
        <rFont val="Times New Roman"/>
        <family val="1"/>
        <charset val="204"/>
      </rPr>
      <t xml:space="preserve"> "Развитие спорта высшых достижений"</t>
    </r>
  </si>
  <si>
    <r>
      <rPr>
        <b/>
        <i/>
        <sz val="11"/>
        <color theme="1"/>
        <rFont val="Times New Roman"/>
        <family val="1"/>
        <charset val="204"/>
      </rPr>
      <t>Подпрограмма 3</t>
    </r>
    <r>
      <rPr>
        <sz val="11"/>
        <color theme="1"/>
        <rFont val="Times New Roman"/>
        <family val="1"/>
        <charset val="204"/>
      </rPr>
      <t xml:space="preserve"> "Развитие системы подготовки спортивного резерва"</t>
    </r>
  </si>
  <si>
    <r>
      <rPr>
        <b/>
        <i/>
        <sz val="11"/>
        <color theme="1"/>
        <rFont val="Times New Roman"/>
        <family val="1"/>
        <charset val="204"/>
      </rPr>
      <t>Подпрограмма 1</t>
    </r>
    <r>
      <rPr>
        <sz val="11"/>
        <color theme="1"/>
        <rFont val="Times New Roman"/>
        <family val="1"/>
        <charset val="204"/>
      </rPr>
      <t xml:space="preserve"> «Вовлечение молодежи Кежемского района в социальную практику»</t>
    </r>
  </si>
  <si>
    <r>
      <rPr>
        <b/>
        <i/>
        <sz val="11"/>
        <color theme="1"/>
        <rFont val="Times New Roman"/>
        <family val="1"/>
        <charset val="204"/>
      </rPr>
      <t>Подпрограмма 1</t>
    </r>
    <r>
      <rPr>
        <sz val="11"/>
        <color theme="1"/>
        <rFont val="Times New Roman"/>
        <family val="1"/>
        <charset val="204"/>
      </rPr>
      <t xml:space="preserve"> «Дороги Кежемского района»</t>
    </r>
  </si>
  <si>
    <r>
      <rPr>
        <b/>
        <i/>
        <sz val="11"/>
        <color theme="1"/>
        <rFont val="Times New Roman"/>
        <family val="1"/>
        <charset val="204"/>
      </rPr>
      <t xml:space="preserve">Подпрограмма 2 </t>
    </r>
    <r>
      <rPr>
        <sz val="11"/>
        <color theme="1"/>
        <rFont val="Times New Roman"/>
        <family val="1"/>
        <charset val="204"/>
      </rPr>
      <t>"Развитие транспортного комплекса Кежемского района"</t>
    </r>
  </si>
  <si>
    <r>
      <rPr>
        <b/>
        <i/>
        <sz val="11"/>
        <color theme="1"/>
        <rFont val="Times New Roman"/>
        <family val="1"/>
        <charset val="204"/>
      </rPr>
      <t xml:space="preserve">Подпрограмма 1 </t>
    </r>
    <r>
      <rPr>
        <sz val="11"/>
        <color theme="1"/>
        <rFont val="Times New Roman"/>
        <family val="1"/>
        <charset val="204"/>
      </rPr>
      <t>«Устойчивое развитие сельских территорий»</t>
    </r>
  </si>
  <si>
    <r>
      <rPr>
        <b/>
        <i/>
        <sz val="11"/>
        <color theme="1"/>
        <rFont val="Times New Roman"/>
        <family val="1"/>
        <charset val="204"/>
      </rPr>
      <t>Подпрограмма 2</t>
    </r>
    <r>
      <rPr>
        <sz val="11"/>
        <color theme="1"/>
        <rFont val="Times New Roman"/>
        <family val="1"/>
        <charset val="204"/>
      </rPr>
      <t xml:space="preserve"> «Обеспечение реализации муниципальной программы и прочие мероприятия »</t>
    </r>
  </si>
  <si>
    <r>
      <rPr>
        <b/>
        <i/>
        <sz val="11"/>
        <color theme="1"/>
        <rFont val="Times New Roman"/>
        <family val="1"/>
        <charset val="204"/>
      </rPr>
      <t>Подпрограмма 1</t>
    </r>
    <r>
      <rPr>
        <sz val="11"/>
        <color theme="1"/>
        <rFont val="Times New Roman"/>
        <family val="1"/>
        <charset val="204"/>
      </rPr>
      <t xml:space="preserve"> "Управление муниципальным имуществом Кежемского района"</t>
    </r>
  </si>
  <si>
    <r>
      <rPr>
        <b/>
        <i/>
        <sz val="11"/>
        <color theme="1"/>
        <rFont val="Times New Roman"/>
        <family val="1"/>
        <charset val="204"/>
      </rPr>
      <t>Подпрограмма 4</t>
    </r>
    <r>
      <rPr>
        <sz val="11"/>
        <color theme="1"/>
        <rFont val="Times New Roman"/>
        <family val="1"/>
        <charset val="204"/>
      </rPr>
      <t xml:space="preserve"> «Обеспечение жильем молодых семей в Кежемском районе»</t>
    </r>
  </si>
  <si>
    <r>
      <rPr>
        <b/>
        <i/>
        <sz val="11"/>
        <color theme="1"/>
        <rFont val="Times New Roman"/>
        <family val="1"/>
        <charset val="204"/>
      </rPr>
      <t xml:space="preserve">Подпрограмма 1 </t>
    </r>
    <r>
      <rPr>
        <sz val="11"/>
        <color theme="1"/>
        <rFont val="Times New Roman"/>
        <family val="1"/>
        <charset val="204"/>
      </rPr>
      <t>"Создание условий для эффективного управления муниципальными финансами, повышения устойчивости бюджетов муниципальных образований Кежемского района"</t>
    </r>
  </si>
  <si>
    <r>
      <rPr>
        <b/>
        <i/>
        <sz val="11"/>
        <color theme="1"/>
        <rFont val="Times New Roman"/>
        <family val="1"/>
        <charset val="204"/>
      </rPr>
      <t xml:space="preserve">Подпрограмма 2 </t>
    </r>
    <r>
      <rPr>
        <sz val="11"/>
        <color theme="1"/>
        <rFont val="Times New Roman"/>
        <family val="1"/>
        <charset val="204"/>
      </rPr>
      <t>"Управление муниципальным долгом Кежемского района"</t>
    </r>
  </si>
  <si>
    <r>
      <rPr>
        <b/>
        <i/>
        <sz val="11"/>
        <color theme="1"/>
        <rFont val="Times New Roman"/>
        <family val="1"/>
        <charset val="204"/>
      </rPr>
      <t>Подпрограмма 3</t>
    </r>
    <r>
      <rPr>
        <sz val="11"/>
        <color theme="1"/>
        <rFont val="Times New Roman"/>
        <family val="1"/>
        <charset val="204"/>
      </rPr>
      <t xml:space="preserve"> "Обеспечение реализации муниципальной программы и прочие мероприятия"</t>
    </r>
  </si>
  <si>
    <r>
      <rPr>
        <b/>
        <i/>
        <sz val="11"/>
        <color theme="1"/>
        <rFont val="Times New Roman"/>
        <family val="1"/>
        <charset val="204"/>
      </rPr>
      <t xml:space="preserve">Подпрограмма 1 </t>
    </r>
    <r>
      <rPr>
        <sz val="11"/>
        <color theme="1"/>
        <rFont val="Times New Roman"/>
        <family val="1"/>
        <charset val="204"/>
      </rPr>
      <t>"Поддержка социально ориентированных некоммерческих организаций"</t>
    </r>
  </si>
  <si>
    <r>
      <rPr>
        <b/>
        <i/>
        <sz val="11"/>
        <color theme="1"/>
        <rFont val="Times New Roman"/>
        <family val="1"/>
        <charset val="204"/>
      </rPr>
      <t>Подпрограмма 2</t>
    </r>
    <r>
      <rPr>
        <sz val="11"/>
        <color theme="1"/>
        <rFont val="Times New Roman"/>
        <family val="1"/>
        <charset val="204"/>
      </rPr>
      <t xml:space="preserve"> "Обеспечение информационными ресурсами гражданской тематики населения Кежемского района для решения социальных проблем"</t>
    </r>
  </si>
  <si>
    <t>% к предыдущему году</t>
  </si>
  <si>
    <t>животных в год</t>
  </si>
  <si>
    <t>Индекс производства продукции сельского хозяйства в хозяйствах всех категорий (в сопоставимых ценах)</t>
  </si>
  <si>
    <t>Индекс производства продукции растениеводства в хозяйствах всех категорий (в сопоставимых ценах)</t>
  </si>
  <si>
    <t>Индекс производства продукции животноводства в хозяйствах всех категорий (в сопоставимых ценах)</t>
  </si>
  <si>
    <t>Количество отловленных безнадзорных домашних животных</t>
  </si>
  <si>
    <t>Информирование населения Кежемского района о мероприятиях в сфере обращения с отходами на территории Кежемского района</t>
  </si>
  <si>
    <t>шт.</t>
  </si>
  <si>
    <t>Уровень износа коммунальной инфраструктуры</t>
  </si>
  <si>
    <t>Доля исполнения бюджетных ассигнований, предусмотренных в муниципальной программе</t>
  </si>
  <si>
    <t>Повышение готовности органов местного самоуправления и служб муниципального образования к реагированию на угрозы возникновения или возникновения ЧС</t>
  </si>
  <si>
    <t>Укомплектованность должностей КМУ СМЗ</t>
  </si>
  <si>
    <t>Объем ремонтных работ на понтонной переправе через р.Кова</t>
  </si>
  <si>
    <t>км</t>
  </si>
  <si>
    <t>Транспортная подвижность населения (количество поездок/количество жителей)</t>
  </si>
  <si>
    <t>поездок/чел.</t>
  </si>
  <si>
    <t>Объем субсидий на 1 пассажира</t>
  </si>
  <si>
    <t>руб/пасс</t>
  </si>
  <si>
    <t>Объем субсидий на 1 км</t>
  </si>
  <si>
    <t>руб/км</t>
  </si>
  <si>
    <t>Доля субсидируемых поездок от общего числа</t>
  </si>
  <si>
    <t>Доля льготных поездок в общем объеме перевозок</t>
  </si>
  <si>
    <t>доля исполненных бюджетных ассигнований, предусмотренных в программном виде</t>
  </si>
  <si>
    <t>Всего</t>
  </si>
  <si>
    <t>Недостаточность доходной части бюджета для покрытия расходов</t>
  </si>
  <si>
    <t>Исполнено по факту заключенных муниципальных контрактов</t>
  </si>
  <si>
    <t>Недостаточность доходной части бюджета для покрытия расходов (отдельное мероприятие)</t>
  </si>
  <si>
    <t>Сводная информация по целевым показателям муниципальных программ за 2019 год</t>
  </si>
  <si>
    <t>Сведения об исполнении муниципальных программ за 2019 год</t>
  </si>
  <si>
    <t>Отчет об исполнении муниципальных программ за 2019 год</t>
  </si>
  <si>
    <t>План на 2019 год</t>
  </si>
  <si>
    <t>Факт за 2019 год</t>
  </si>
  <si>
    <t xml:space="preserve">Муниципальная программа  "Профилактика безнадзорности и правонарушений несовершеннолетних в Кежемском районе" </t>
  </si>
  <si>
    <t>(*конкретные объяснения причин неисполнения бюджетных назначений за 2019 год необходимо отражать при исполнении менее 95%)</t>
  </si>
  <si>
    <t xml:space="preserve">Муниципальная программа "Профилактика безнадзорности и правонарушений несовершеннолетних в Кежемском районе" </t>
  </si>
  <si>
    <t>Количество подростков, снятых с учета в комиссии по делам несовершеннолетних и защите их прав по исправлению</t>
  </si>
  <si>
    <t>Снижение числа семей состоящих на профилактическом учете в КДН и ЗП</t>
  </si>
  <si>
    <t>Удельный вес преступлений, совершенных несовершеннолетними по сравнению с предыдущим годом</t>
  </si>
  <si>
    <t>Количество внедренных новых технологий и методов профилактической работы с несовершеннолетними</t>
  </si>
  <si>
    <t>Количество несовершеннолетних, принявших участие в профилактических мероприятиях антинаркотической направленности и  мероприятиях, направленных на профилактику безнадзорности и правонарушений несовершеннолетних, на патриотическое воспитание</t>
  </si>
  <si>
    <t>Количество несовершеннолетних, состоящих в социально опасном положении и «группе риска», охваченных социальной, психологической и медицинской помощью</t>
  </si>
  <si>
    <t>Количество детей, состоящих на профилактическом учете в КДН и ЗП, занятых в кружковой, спортивной или иной деятельности в учебное время</t>
  </si>
  <si>
    <t>Количество детей, состоящих на профилактическом учете в КДН и ЗП, получивших путевки в лагеря, в том числе оздоровительные, трудоустроенных, охваченных иными видами занятости в каникулярное время</t>
  </si>
  <si>
    <t>Количество мероприятий, направленных на повышение престижа института семьи, семейных традиций и ценностей</t>
  </si>
  <si>
    <t>Количество "круглых столов", семинаров, методических совещаний со специалистами, занимающимися профилактической работой по проблемам безнадзорности и профилактики правонарушений несовершеннолетних</t>
  </si>
  <si>
    <t>Уменьшение общего количества детей в районе,едостаточное финансирование</t>
  </si>
  <si>
    <t>Подпрограмма № 7 "Развитие внутреннего и въездного туризма"</t>
  </si>
  <si>
    <t xml:space="preserve">Количество объектов экскурсионного показа, пригодных для посещения туристов (в т.ч. новых туристических маршрутов);  </t>
  </si>
  <si>
    <t>Количество туристов, посетивших Кежемский район (въездной туристский поток)</t>
  </si>
  <si>
    <t>Количество специалистов из числа работающих в туристской индустрии Кежемского района, проинформированных о туристско-рекреационных возможностях, туристских продуктах, мерах поддержки, формах обслуживания на территории Кежемского района.</t>
  </si>
  <si>
    <r>
      <rPr>
        <b/>
        <sz val="11"/>
        <color theme="1"/>
        <rFont val="Times New Roman"/>
        <family val="1"/>
        <charset val="204"/>
      </rPr>
      <t>Подпрограмма № 7</t>
    </r>
    <r>
      <rPr>
        <sz val="11"/>
        <color theme="1"/>
        <rFont val="Times New Roman"/>
        <family val="1"/>
        <charset val="204"/>
      </rPr>
      <t xml:space="preserve"> "Развитие внутреннего и въездного туризма"</t>
    </r>
  </si>
  <si>
    <r>
      <rPr>
        <b/>
        <i/>
        <sz val="11"/>
        <color indexed="8"/>
        <rFont val="Times New Roman"/>
        <family val="1"/>
        <charset val="204"/>
      </rPr>
      <t xml:space="preserve">Подпрограмма № 7 </t>
    </r>
    <r>
      <rPr>
        <i/>
        <sz val="11"/>
        <color indexed="8"/>
        <rFont val="Times New Roman"/>
        <family val="1"/>
        <charset val="204"/>
      </rPr>
      <t>"Развитие внутреннего и въездного туризма"</t>
    </r>
  </si>
  <si>
    <t>Отсутствие бюджетных ассигнований</t>
  </si>
  <si>
    <t>"Содействие занятости населения Кежемского района"</t>
  </si>
  <si>
    <t xml:space="preserve">"Профилактика безнадзорности и правонарушений несовершеннолетних в Кежемском районе" </t>
  </si>
  <si>
    <t xml:space="preserve">"Профилактика террористической и экстремистской деятельности в Кежемском районе на 2017-2019 годы" </t>
  </si>
  <si>
    <t xml:space="preserve">Муниципальная программа  ""Профилактика террористической и экстремистской деятельности в Кежемском районе на 2017-2019 годы" </t>
  </si>
  <si>
    <t xml:space="preserve">Муниципальная программа ""Профилактика террористической и экстремистской деятельности в Кежемском районе на 2017-2019 годы" </t>
  </si>
  <si>
    <t xml:space="preserve">Муниципальная программа "Защита населения и территории Кежемского района от чрезвычайных ситуаций природного и техногенного характера" </t>
  </si>
  <si>
    <t xml:space="preserve">Муниципальная программа  "Защита населения и территории Кежемского района от чрезвычайных ситуаций природного и техногенного характера" </t>
  </si>
  <si>
    <t>Разработка, приобретение и распростронение наглядно-агитационной продукции (плакатов, памяток, листовок, стендов) о порядке и правилах поведения населения при угрозе возникновения террористических актов</t>
  </si>
  <si>
    <t>Приобретение 10 огнетушителей</t>
  </si>
  <si>
    <t>Профинансировано 1550,52428 тыс. руб., освоено 100%. В результате проведенных по данному мероприятию работ заменено 0,211 км водопроводных сетей, что составляет 37,8% от запланированных, что обусловлено невозможностью выполнения объемов работ, предусмотренных контрактом по ремонту водопроводных сетей по ул. Гайнулина, вследствие чего контракт был расторгнут. 
Неисполненные назначения компенсации  составили  21 119 710,54 руб. 1. Компенсация части платы граждан населения за коммунальные ресурсы. Причины не исполнения 21 073 772,00 руб. - не подтверждение заявленных объемов компенсации исполнителями коммунальных услуг, ввиду 
снижения объемов потребления коммунальных услуг на 2019 год.  2. ДЭС. Причины, не выработали заявленный объем электрической энергии, возврат за 2019 год составил 45 938,54 руб</t>
  </si>
  <si>
    <t>Неисполненные назначения компенсации  составили  21 119 710,54 руб. 1. Компенсация части платы граждан населения за коммунальные ресурсы. Причины не исполнения 21 073 772,00 руб. - не подтверждение заявленных объемов компенсации исполнителями коммунальных услуг, ввиду 
снижения объемов потребления коммунальных услуг на 2019 год.  2. ДЭС. Причины, не выработали заявленный объем электрической энергии, возврат за 2019 год составил 45 938,54 руб</t>
  </si>
  <si>
    <t xml:space="preserve"> Компенсация части платы граждан населения за коммунальные ресурсы. Причины не исполнения 21 073 772,00 руб. - не подтверждение заявленных объемов компенсации исполнителями коммунальных услуг</t>
  </si>
  <si>
    <t xml:space="preserve"> ДЭС. Причины, не выработали заявленный объем электрической энергии, возврат за 2019 год составил 45 938,54 руб</t>
  </si>
  <si>
    <t>Достигнутые целевые показатели и показатели результативности по программе за 2019 год</t>
  </si>
  <si>
    <t>Содержание понтонной переправы перешло на 2020 год</t>
  </si>
  <si>
    <t>Назначения были переданы в Администрацию района</t>
  </si>
  <si>
    <t>2</t>
  </si>
  <si>
    <t>3</t>
  </si>
  <si>
    <t>4</t>
  </si>
  <si>
    <t>5</t>
  </si>
  <si>
    <t>6</t>
  </si>
  <si>
    <t>7</t>
  </si>
  <si>
    <t>8</t>
  </si>
  <si>
    <t>9</t>
  </si>
  <si>
    <t>10</t>
  </si>
  <si>
    <t>11</t>
  </si>
  <si>
    <t>12</t>
  </si>
  <si>
    <t>13</t>
  </si>
  <si>
    <t>По состоянию на 01.01.2020 год  4 здания из 8 дошкольных учреждений (50%) требуют капитальный ремонт, т.к. бюджетные асигнования не были доведены данный показатель не достигнут</t>
  </si>
  <si>
    <t xml:space="preserve">По состоянию на 01.01.2020 здания общеобразовательных организаций, которые находятся в аварийном состоянии или требуют капитального ремонта 5 здание из 9 общеобразовательных учреждений, т.к. бюджетные асигнования не были доведены данный показатель не был достигнут </t>
  </si>
  <si>
    <t>Количество школьников 2425 человек, численность детей с ограниченными возможностями здоровья, получающих инклюзивное образование составила 167 учащихся</t>
  </si>
  <si>
    <t>СОШ 1714 учеников, УДО 2593 ребенка с учетом задвоенности детей</t>
  </si>
  <si>
    <t>Без учета выпускников 9 и 11 классов</t>
  </si>
  <si>
    <t>Экономия средств сложилась из-за снижения первоначальной цены результате проведенных аукционов</t>
  </si>
  <si>
    <t>Заработная плата за вторую половину декабря 2019 г. и начисления на заработную плату декабря 2019 г. произведены в первой половине января 2020 г.</t>
  </si>
  <si>
    <t xml:space="preserve">Доля граждан, получивших регулярные денежные выплаты от числа граждан, имеющих на них право </t>
  </si>
  <si>
    <t>Удельный вес детей – инвалидов, проживающих в семьях, получивших реабилитационные услуги в муниципальных учреждениях социального обслуживания населения, к общему числу детей-инвалидов, проживающих на территории Кежемского района</t>
  </si>
  <si>
    <t>руб</t>
  </si>
  <si>
    <t>Уровень удовлетворенности жителей Кежемского района качеством предоставления государственных и муниципальных услуг в сфере социальной поддержки населения</t>
  </si>
  <si>
    <t>не более 1</t>
  </si>
  <si>
    <t>Не менее 90</t>
  </si>
  <si>
    <t>тыс. руб./чел.</t>
  </si>
  <si>
    <t>Не менее 4,5</t>
  </si>
  <si>
    <t>тыс. рублей/чел.</t>
  </si>
  <si>
    <t>не более 30</t>
  </si>
  <si>
    <t>Просроченная задолженность по долговым обязательствам Кежемского района</t>
  </si>
  <si>
    <t>Размещение информации о районном бюджете на сайте финансового управления  в целях обеспечения прозрачности и открытости районного бюджета и бюджетного процесса</t>
  </si>
  <si>
    <t>14</t>
  </si>
  <si>
    <t>15</t>
  </si>
  <si>
    <t>16</t>
  </si>
  <si>
    <t>17</t>
  </si>
  <si>
    <t xml:space="preserve">Муниципальная программа  "Профилактика террористической и экстремистской деятельности в Кежемском районе на 2017-2019 годы" </t>
  </si>
  <si>
    <r>
      <t>Подпрограмма № 5 "</t>
    </r>
    <r>
      <rPr>
        <i/>
        <sz val="11"/>
        <color theme="1"/>
        <rFont val="Times New Roman"/>
        <family val="1"/>
        <charset val="204"/>
      </rPr>
      <t>Территориальное планирование, градостроительное зонирование и документация по планировке территории района"</t>
    </r>
  </si>
  <si>
    <t>Совершенствование системы управления муниципальным имуществом и формирование муниципального имущества</t>
  </si>
  <si>
    <t>Обеспечение документами территориального планирования и градостроительного зонирования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</si>
</sst>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р_._-;\-* #,##0.00_р_._-;_-* &quot;-&quot;??_р_._-;_-@_-"/>
    <numFmt numFmtId="165" formatCode="#,##0.000"/>
    <numFmt numFmtId="166" formatCode="0.000"/>
    <numFmt numFmtId="167" formatCode="0.0%"/>
    <numFmt numFmtId="168" formatCode="0.0"/>
    <numFmt numFmtId="169" formatCode="#,##0.00000"/>
    <numFmt numFmtId="170" formatCode="0.00000"/>
    <numFmt numFmtId="171" formatCode="0.0000"/>
  </numFmts>
  <fonts count="34" x14ac:knownFonts="1">
    <font>
      <sz val="11"/>
      <color theme="1"/>
      <name val="Calibri"/>
      <family val="2"/>
      <charset val="204"/>
      <scheme val="minor"/>
    </font>
    <font>
      <sz val="11"/>
      <color theme="1"/>
      <name val="Times New Roman"/>
      <family val="1"/>
      <charset val="204"/>
    </font>
    <font>
      <b/>
      <sz val="14"/>
      <color theme="1"/>
      <name val="Times New Roman"/>
      <family val="1"/>
      <charset val="204"/>
    </font>
    <font>
      <b/>
      <sz val="10"/>
      <name val="Times New Roman"/>
      <family val="1"/>
      <charset val="204"/>
    </font>
    <font>
      <b/>
      <sz val="10"/>
      <color theme="1"/>
      <name val="Times New Roman"/>
      <family val="1"/>
      <charset val="204"/>
    </font>
    <font>
      <sz val="10"/>
      <color theme="1"/>
      <name val="Times New Roman"/>
      <family val="1"/>
      <charset val="204"/>
    </font>
    <font>
      <sz val="11"/>
      <color theme="1"/>
      <name val="Calibri"/>
      <family val="2"/>
      <charset val="204"/>
      <scheme val="minor"/>
    </font>
    <font>
      <b/>
      <sz val="10"/>
      <color theme="1"/>
      <name val="Calibri"/>
      <family val="2"/>
      <charset val="204"/>
      <scheme val="minor"/>
    </font>
    <font>
      <b/>
      <sz val="11"/>
      <color theme="1"/>
      <name val="Times New Roman"/>
      <family val="1"/>
      <charset val="204"/>
    </font>
    <font>
      <sz val="10"/>
      <name val="Times New Roman"/>
      <family val="1"/>
      <charset val="204"/>
    </font>
    <font>
      <sz val="10"/>
      <name val="Arial Cyr"/>
      <charset val="204"/>
    </font>
    <font>
      <b/>
      <sz val="10"/>
      <color rgb="FFFF0000"/>
      <name val="Calibri"/>
      <family val="2"/>
      <charset val="204"/>
      <scheme val="minor"/>
    </font>
    <font>
      <b/>
      <sz val="10"/>
      <color rgb="FFFF0000"/>
      <name val="Times New Roman"/>
      <family val="1"/>
      <charset val="204"/>
    </font>
    <font>
      <sz val="11"/>
      <color theme="1"/>
      <name val="Perpetua Titling MT"/>
      <family val="1"/>
    </font>
    <font>
      <b/>
      <sz val="10"/>
      <color indexed="8"/>
      <name val="Times New Roman"/>
      <family val="1"/>
      <charset val="204"/>
    </font>
    <font>
      <b/>
      <i/>
      <sz val="11"/>
      <color theme="1"/>
      <name val="Times New Roman"/>
      <family val="1"/>
      <charset val="204"/>
    </font>
    <font>
      <sz val="11"/>
      <name val="Times New Roman"/>
      <family val="1"/>
      <charset val="204"/>
    </font>
    <font>
      <b/>
      <sz val="11"/>
      <name val="Times New Roman"/>
      <family val="1"/>
      <charset val="204"/>
    </font>
    <font>
      <b/>
      <i/>
      <sz val="11"/>
      <name val="Times New Roman"/>
      <family val="1"/>
      <charset val="204"/>
    </font>
    <font>
      <b/>
      <sz val="11"/>
      <color indexed="8"/>
      <name val="Times New Roman"/>
      <family val="1"/>
      <charset val="204"/>
    </font>
    <font>
      <sz val="11"/>
      <color indexed="8"/>
      <name val="Times New Roman"/>
      <family val="1"/>
      <charset val="204"/>
    </font>
    <font>
      <sz val="11"/>
      <color rgb="FF000000"/>
      <name val="Times New Roman"/>
      <family val="1"/>
      <charset val="204"/>
    </font>
    <font>
      <i/>
      <sz val="11"/>
      <name val="Times New Roman"/>
      <family val="1"/>
      <charset val="204"/>
    </font>
    <font>
      <i/>
      <sz val="11"/>
      <color indexed="8"/>
      <name val="Times New Roman"/>
      <family val="1"/>
      <charset val="204"/>
    </font>
    <font>
      <b/>
      <i/>
      <sz val="11"/>
      <color indexed="8"/>
      <name val="Times New Roman"/>
      <family val="1"/>
      <charset val="204"/>
    </font>
    <font>
      <i/>
      <sz val="11"/>
      <color theme="1"/>
      <name val="Times New Roman"/>
      <family val="1"/>
      <charset val="204"/>
    </font>
    <font>
      <b/>
      <i/>
      <sz val="11"/>
      <color theme="1"/>
      <name val="Perpetua Titling MT"/>
      <family val="1"/>
    </font>
    <font>
      <b/>
      <sz val="11"/>
      <color theme="1"/>
      <name val="Perpetua Titling MT"/>
      <family val="1"/>
    </font>
    <font>
      <sz val="12"/>
      <color theme="1"/>
      <name val="Times New Roman"/>
      <family val="1"/>
      <charset val="204"/>
    </font>
    <font>
      <sz val="10"/>
      <color rgb="FF000000"/>
      <name val="Times New Roman"/>
      <family val="1"/>
      <charset val="204"/>
    </font>
    <font>
      <sz val="12"/>
      <name val="Times New Roman"/>
      <family val="1"/>
      <charset val="204"/>
    </font>
    <font>
      <b/>
      <i/>
      <sz val="10"/>
      <color theme="1"/>
      <name val="Times New Roman"/>
      <family val="1"/>
      <charset val="204"/>
    </font>
    <font>
      <sz val="11"/>
      <name val="Arial"/>
      <family val="2"/>
      <charset val="204"/>
    </font>
    <font>
      <sz val="10"/>
      <color indexed="8"/>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s>
  <cellStyleXfs count="4">
    <xf numFmtId="0" fontId="0" fillId="0" borderId="0"/>
    <xf numFmtId="164" fontId="6" fillId="0" borderId="0" applyFont="0" applyFill="0" applyBorder="0" applyAlignment="0" applyProtection="0"/>
    <xf numFmtId="9" fontId="6" fillId="0" borderId="0" applyFont="0" applyFill="0" applyBorder="0" applyAlignment="0" applyProtection="0"/>
    <xf numFmtId="0" fontId="10" fillId="0" borderId="0"/>
  </cellStyleXfs>
  <cellXfs count="280">
    <xf numFmtId="0" fontId="0" fillId="0" borderId="0" xfId="0"/>
    <xf numFmtId="0" fontId="3" fillId="0" borderId="0" xfId="0"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165" fontId="7" fillId="0" borderId="0" xfId="0" applyNumberFormat="1" applyFont="1" applyFill="1" applyBorder="1" applyAlignment="1">
      <alignment horizontal="center" vertical="center" wrapText="1"/>
    </xf>
    <xf numFmtId="0" fontId="1" fillId="0" borderId="0" xfId="0" applyFont="1" applyFill="1"/>
    <xf numFmtId="165" fontId="5" fillId="0" borderId="1" xfId="0" applyNumberFormat="1" applyFont="1" applyFill="1" applyBorder="1" applyAlignment="1">
      <alignment horizontal="center" vertical="center" wrapText="1"/>
    </xf>
    <xf numFmtId="0" fontId="1" fillId="0" borderId="1" xfId="0" applyFont="1" applyFill="1" applyBorder="1"/>
    <xf numFmtId="0" fontId="8" fillId="0" borderId="0" xfId="0" applyFont="1" applyFill="1"/>
    <xf numFmtId="0" fontId="15" fillId="0" borderId="0" xfId="0" applyFont="1" applyFill="1"/>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8" xfId="0" applyFont="1" applyFill="1" applyBorder="1" applyAlignment="1">
      <alignment vertical="center" wrapText="1"/>
    </xf>
    <xf numFmtId="0" fontId="9" fillId="0" borderId="0" xfId="0" applyFont="1" applyFill="1"/>
    <xf numFmtId="0" fontId="1"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166" fontId="1" fillId="0" borderId="1" xfId="1"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9" fontId="8" fillId="0" borderId="1" xfId="2" applyNumberFormat="1" applyFont="1" applyFill="1" applyBorder="1" applyAlignment="1">
      <alignment horizontal="center" vertical="center" wrapText="1"/>
    </xf>
    <xf numFmtId="166" fontId="1" fillId="0" borderId="1" xfId="2" applyNumberFormat="1" applyFont="1" applyFill="1" applyBorder="1" applyAlignment="1">
      <alignment horizontal="center" vertical="center" wrapText="1"/>
    </xf>
    <xf numFmtId="9" fontId="1" fillId="0" borderId="1" xfId="2" applyNumberFormat="1" applyFont="1" applyFill="1" applyBorder="1" applyAlignment="1">
      <alignment horizontal="center" vertical="center" wrapText="1"/>
    </xf>
    <xf numFmtId="166" fontId="8" fillId="0" borderId="1" xfId="1"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166" fontId="8" fillId="0" borderId="1" xfId="0" applyNumberFormat="1" applyFont="1" applyFill="1" applyBorder="1" applyAlignment="1">
      <alignment horizontal="center"/>
    </xf>
    <xf numFmtId="166" fontId="19" fillId="0" borderId="1" xfId="0" applyNumberFormat="1" applyFont="1" applyFill="1" applyBorder="1" applyAlignment="1">
      <alignment horizontal="center" vertical="center" wrapText="1"/>
    </xf>
    <xf numFmtId="166" fontId="20" fillId="0" borderId="1" xfId="0" applyNumberFormat="1" applyFont="1" applyFill="1" applyBorder="1" applyAlignment="1">
      <alignment horizontal="center" vertical="center" wrapText="1"/>
    </xf>
    <xf numFmtId="166" fontId="20" fillId="0" borderId="1" xfId="2"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xf>
    <xf numFmtId="0" fontId="16" fillId="0" borderId="8" xfId="0" applyFont="1" applyFill="1" applyBorder="1" applyAlignment="1">
      <alignment horizontal="center" vertical="center" wrapText="1"/>
    </xf>
    <xf numFmtId="0" fontId="21" fillId="0" borderId="1" xfId="0" applyFont="1" applyFill="1" applyBorder="1" applyAlignment="1">
      <alignment vertical="center" wrapText="1"/>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17" fillId="0" borderId="1" xfId="0" applyFont="1" applyFill="1" applyBorder="1" applyAlignment="1">
      <alignment vertical="center" textRotation="90"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7" fillId="0" borderId="1" xfId="0" applyFont="1" applyFill="1" applyBorder="1" applyAlignment="1">
      <alignment horizontal="center" vertical="center"/>
    </xf>
    <xf numFmtId="167" fontId="16" fillId="0" borderId="1" xfId="0" applyNumberFormat="1" applyFont="1" applyFill="1" applyBorder="1" applyAlignment="1">
      <alignment horizontal="center" vertical="center" wrapText="1"/>
    </xf>
    <xf numFmtId="2" fontId="16" fillId="0" borderId="1" xfId="0" applyNumberFormat="1" applyFont="1" applyFill="1" applyBorder="1" applyAlignment="1">
      <alignment horizontal="center" vertical="center" wrapText="1"/>
    </xf>
    <xf numFmtId="9" fontId="16"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10" fontId="16" fillId="0" borderId="1" xfId="0" applyNumberFormat="1" applyFont="1" applyFill="1" applyBorder="1" applyAlignment="1">
      <alignment horizontal="center" vertical="center" wrapText="1"/>
    </xf>
    <xf numFmtId="168" fontId="16"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1" fillId="0" borderId="1" xfId="2" applyNumberFormat="1" applyFont="1" applyFill="1" applyBorder="1" applyAlignment="1">
      <alignment horizontal="center" vertical="center" wrapText="1"/>
    </xf>
    <xf numFmtId="165" fontId="20" fillId="0" borderId="1" xfId="2" applyNumberFormat="1" applyFont="1" applyFill="1" applyBorder="1" applyAlignment="1">
      <alignment horizontal="center" vertical="center" wrapText="1"/>
    </xf>
    <xf numFmtId="165" fontId="20" fillId="0" borderId="1" xfId="0" applyNumberFormat="1" applyFont="1" applyFill="1" applyBorder="1" applyAlignment="1">
      <alignment horizontal="center" vertical="center" wrapText="1"/>
    </xf>
    <xf numFmtId="9" fontId="20" fillId="0" borderId="1" xfId="2" applyNumberFormat="1" applyFont="1" applyFill="1" applyBorder="1" applyAlignment="1">
      <alignment horizontal="center" vertical="center" wrapText="1"/>
    </xf>
    <xf numFmtId="9" fontId="1" fillId="0" borderId="1" xfId="2" applyNumberFormat="1" applyFont="1" applyFill="1" applyBorder="1" applyAlignment="1">
      <alignment vertical="center" wrapText="1"/>
    </xf>
    <xf numFmtId="166" fontId="8" fillId="0" borderId="1" xfId="0" applyNumberFormat="1" applyFont="1" applyFill="1" applyBorder="1" applyAlignment="1">
      <alignment horizontal="center" vertical="center"/>
    </xf>
    <xf numFmtId="166" fontId="16" fillId="0" borderId="1" xfId="0" applyNumberFormat="1" applyFont="1" applyFill="1" applyBorder="1" applyAlignment="1">
      <alignment horizontal="center" vertical="center" wrapText="1"/>
    </xf>
    <xf numFmtId="0" fontId="16" fillId="0" borderId="0" xfId="0" applyFont="1" applyFill="1"/>
    <xf numFmtId="166" fontId="1" fillId="0" borderId="0" xfId="0" applyNumberFormat="1" applyFont="1" applyFill="1" applyAlignment="1">
      <alignment horizontal="center" vertical="center"/>
    </xf>
    <xf numFmtId="166" fontId="1" fillId="0" borderId="1" xfId="0" applyNumberFormat="1" applyFont="1" applyFill="1" applyBorder="1" applyAlignment="1">
      <alignment horizontal="center"/>
    </xf>
    <xf numFmtId="166" fontId="16" fillId="0" borderId="1" xfId="1" applyNumberFormat="1" applyFont="1" applyFill="1" applyBorder="1" applyAlignment="1">
      <alignment horizontal="center" vertical="center" wrapText="1"/>
    </xf>
    <xf numFmtId="166" fontId="17" fillId="0" borderId="1" xfId="0" applyNumberFormat="1" applyFont="1" applyFill="1" applyBorder="1" applyAlignment="1">
      <alignment horizontal="center" vertical="center" wrapText="1"/>
    </xf>
    <xf numFmtId="9" fontId="17" fillId="0" borderId="1" xfId="2" applyNumberFormat="1" applyFont="1" applyFill="1" applyBorder="1" applyAlignment="1">
      <alignment horizontal="center" vertical="center" wrapText="1"/>
    </xf>
    <xf numFmtId="0" fontId="16" fillId="0" borderId="1" xfId="2" applyNumberFormat="1" applyFont="1" applyFill="1" applyBorder="1" applyAlignment="1">
      <alignment horizontal="center" vertical="center" wrapText="1"/>
    </xf>
    <xf numFmtId="2" fontId="16" fillId="0" borderId="1" xfId="2" applyNumberFormat="1" applyFont="1" applyFill="1" applyBorder="1" applyAlignment="1">
      <alignment horizontal="center" vertical="center" wrapText="1"/>
    </xf>
    <xf numFmtId="9" fontId="16" fillId="0" borderId="1" xfId="2" applyNumberFormat="1" applyFont="1" applyFill="1" applyBorder="1" applyAlignment="1">
      <alignment horizontal="center" vertical="center" wrapText="1"/>
    </xf>
    <xf numFmtId="170" fontId="8" fillId="0" borderId="1" xfId="0" applyNumberFormat="1" applyFont="1" applyFill="1" applyBorder="1" applyAlignment="1">
      <alignment horizontal="center" vertical="center" wrapText="1"/>
    </xf>
    <xf numFmtId="170" fontId="16" fillId="0" borderId="1" xfId="0" applyNumberFormat="1" applyFont="1" applyFill="1" applyBorder="1" applyAlignment="1">
      <alignment horizontal="center" vertical="center" wrapText="1"/>
    </xf>
    <xf numFmtId="170" fontId="1" fillId="0" borderId="1" xfId="0" applyNumberFormat="1" applyFont="1" applyFill="1" applyBorder="1" applyAlignment="1">
      <alignment horizontal="center" vertical="center" wrapText="1"/>
    </xf>
    <xf numFmtId="170" fontId="1" fillId="0" borderId="1" xfId="2"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0" xfId="0" applyFont="1" applyFill="1" applyAlignment="1">
      <alignment horizontal="center" vertical="center"/>
    </xf>
    <xf numFmtId="165" fontId="8" fillId="0" borderId="1" xfId="0" applyNumberFormat="1" applyFont="1" applyFill="1" applyBorder="1" applyAlignment="1">
      <alignment horizontal="center" vertical="center"/>
    </xf>
    <xf numFmtId="170" fontId="1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9" fillId="0" borderId="0" xfId="0" applyFont="1" applyFill="1" applyBorder="1"/>
    <xf numFmtId="0" fontId="14" fillId="0" borderId="0" xfId="0" applyFont="1" applyFill="1" applyBorder="1" applyAlignment="1"/>
    <xf numFmtId="0" fontId="16" fillId="0" borderId="1" xfId="0" applyFont="1" applyFill="1" applyBorder="1" applyAlignment="1">
      <alignment horizontal="left" vertical="top" wrapText="1"/>
    </xf>
    <xf numFmtId="0" fontId="16" fillId="0" borderId="1" xfId="0" applyFont="1" applyFill="1" applyBorder="1"/>
    <xf numFmtId="4" fontId="16" fillId="0" borderId="1" xfId="0" applyNumberFormat="1" applyFont="1" applyFill="1" applyBorder="1" applyAlignment="1">
      <alignment horizontal="center" vertical="center" wrapText="1"/>
    </xf>
    <xf numFmtId="0" fontId="16" fillId="0" borderId="1" xfId="0" applyFont="1" applyFill="1" applyBorder="1" applyAlignment="1">
      <alignment horizontal="left"/>
    </xf>
    <xf numFmtId="0" fontId="1" fillId="0" borderId="1" xfId="0" applyFont="1" applyFill="1" applyBorder="1" applyAlignment="1">
      <alignment horizontal="justify" vertical="center"/>
    </xf>
    <xf numFmtId="0" fontId="16" fillId="0" borderId="3" xfId="0" applyFont="1" applyFill="1" applyBorder="1" applyAlignment="1">
      <alignment vertical="center" wrapText="1"/>
    </xf>
    <xf numFmtId="0" fontId="1" fillId="0" borderId="1" xfId="0" applyFont="1" applyFill="1" applyBorder="1" applyAlignment="1">
      <alignment horizontal="left" vertical="top" wrapText="1"/>
    </xf>
    <xf numFmtId="0" fontId="16" fillId="0" borderId="1" xfId="0" applyFont="1" applyFill="1" applyBorder="1" applyAlignment="1">
      <alignment vertical="center" textRotation="90" wrapText="1"/>
    </xf>
    <xf numFmtId="0" fontId="1" fillId="0" borderId="3" xfId="0" applyFont="1" applyFill="1" applyBorder="1" applyAlignment="1">
      <alignment vertical="center" wrapText="1"/>
    </xf>
    <xf numFmtId="0" fontId="16" fillId="0" borderId="9" xfId="0" applyFont="1" applyFill="1" applyBorder="1" applyAlignment="1">
      <alignment horizontal="center" vertical="center" wrapText="1"/>
    </xf>
    <xf numFmtId="167" fontId="16" fillId="0" borderId="3" xfId="0" applyNumberFormat="1" applyFont="1" applyFill="1" applyBorder="1" applyAlignment="1">
      <alignment horizontal="center" vertical="center" wrapText="1"/>
    </xf>
    <xf numFmtId="0" fontId="16" fillId="0" borderId="3" xfId="0" applyFont="1" applyFill="1" applyBorder="1" applyAlignment="1">
      <alignment vertical="center" textRotation="90" wrapText="1"/>
    </xf>
    <xf numFmtId="0" fontId="5"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167" fontId="9"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16" fillId="0" borderId="1" xfId="0" applyFont="1" applyFill="1" applyBorder="1" applyAlignment="1">
      <alignment horizontal="left" wrapText="1"/>
    </xf>
    <xf numFmtId="0" fontId="1" fillId="0" borderId="2" xfId="0" applyFont="1" applyFill="1" applyBorder="1" applyAlignment="1">
      <alignment horizontal="left" vertical="center" wrapText="1"/>
    </xf>
    <xf numFmtId="0" fontId="17" fillId="0" borderId="1" xfId="0" applyFont="1" applyFill="1" applyBorder="1" applyAlignment="1">
      <alignment horizontal="left" vertical="center" textRotation="90" wrapText="1"/>
    </xf>
    <xf numFmtId="0" fontId="16" fillId="0" borderId="2" xfId="0" applyFont="1" applyFill="1" applyBorder="1" applyAlignment="1">
      <alignment horizontal="left" vertical="center" wrapText="1"/>
    </xf>
    <xf numFmtId="0" fontId="1" fillId="0" borderId="0" xfId="0" applyFont="1" applyFill="1" applyAlignment="1">
      <alignment wrapText="1"/>
    </xf>
    <xf numFmtId="0" fontId="1" fillId="0" borderId="1" xfId="0" applyFont="1" applyFill="1" applyBorder="1" applyAlignment="1">
      <alignment horizontal="justify" vertical="top" wrapText="1"/>
    </xf>
    <xf numFmtId="0" fontId="16" fillId="0" borderId="4" xfId="0" applyFont="1" applyFill="1" applyBorder="1" applyAlignment="1">
      <alignment vertical="center" wrapText="1"/>
    </xf>
    <xf numFmtId="0" fontId="17" fillId="0" borderId="3" xfId="0" applyFont="1" applyFill="1" applyBorder="1" applyAlignment="1">
      <alignment horizontal="center" vertical="center"/>
    </xf>
    <xf numFmtId="0" fontId="28" fillId="0" borderId="1" xfId="0" applyFont="1" applyFill="1" applyBorder="1" applyAlignment="1">
      <alignment vertical="center" wrapText="1"/>
    </xf>
    <xf numFmtId="0" fontId="2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8" fillId="0" borderId="1" xfId="0" applyFont="1" applyFill="1" applyBorder="1" applyAlignment="1">
      <alignment horizontal="justify" vertical="center" wrapText="1"/>
    </xf>
    <xf numFmtId="0" fontId="16"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167" fontId="30" fillId="0" borderId="1" xfId="0" applyNumberFormat="1" applyFont="1" applyFill="1" applyBorder="1" applyAlignment="1">
      <alignment horizontal="center" vertical="center" wrapText="1"/>
    </xf>
    <xf numFmtId="0" fontId="1" fillId="0" borderId="0" xfId="0" applyFont="1" applyFill="1" applyBorder="1" applyAlignment="1">
      <alignment horizontal="center"/>
    </xf>
    <xf numFmtId="0" fontId="2"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3" fontId="17" fillId="0" borderId="1" xfId="0" applyNumberFormat="1" applyFont="1" applyFill="1" applyBorder="1" applyAlignment="1">
      <alignment horizontal="center" wrapText="1"/>
    </xf>
    <xf numFmtId="165" fontId="12" fillId="0" borderId="0" xfId="0" applyNumberFormat="1" applyFont="1" applyFill="1" applyBorder="1" applyAlignment="1">
      <alignment horizontal="center" vertical="center" wrapText="1"/>
    </xf>
    <xf numFmtId="165" fontId="8" fillId="0" borderId="1" xfId="0" applyNumberFormat="1" applyFont="1" applyFill="1" applyBorder="1" applyAlignment="1">
      <alignment horizontal="center" wrapText="1"/>
    </xf>
    <xf numFmtId="165" fontId="13" fillId="0" borderId="1" xfId="0" applyNumberFormat="1" applyFont="1" applyFill="1" applyBorder="1" applyAlignment="1">
      <alignment horizontal="center" vertical="center" wrapText="1"/>
    </xf>
    <xf numFmtId="165" fontId="11" fillId="0" borderId="0"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left" wrapText="1"/>
    </xf>
    <xf numFmtId="0" fontId="17" fillId="0" borderId="1" xfId="0" applyFont="1" applyFill="1" applyBorder="1" applyAlignment="1">
      <alignment horizontal="left" wrapText="1"/>
    </xf>
    <xf numFmtId="0" fontId="17" fillId="0" borderId="1" xfId="0" applyFont="1" applyFill="1" applyBorder="1" applyAlignment="1">
      <alignment horizontal="center" wrapText="1"/>
    </xf>
    <xf numFmtId="165" fontId="1" fillId="0" borderId="1" xfId="0" applyNumberFormat="1" applyFont="1" applyFill="1" applyBorder="1" applyAlignment="1">
      <alignment horizontal="center" wrapText="1"/>
    </xf>
    <xf numFmtId="165" fontId="19" fillId="0" borderId="1" xfId="0" applyNumberFormat="1" applyFont="1" applyFill="1" applyBorder="1" applyAlignment="1">
      <alignment horizontal="center" vertical="center" wrapText="1"/>
    </xf>
    <xf numFmtId="9" fontId="19" fillId="0" borderId="1" xfId="2" applyNumberFormat="1" applyFont="1" applyFill="1" applyBorder="1" applyAlignment="1">
      <alignment horizontal="center" vertical="center" wrapText="1"/>
    </xf>
    <xf numFmtId="0" fontId="1" fillId="0" borderId="1" xfId="0" applyFont="1" applyFill="1" applyBorder="1" applyAlignment="1">
      <alignment horizontal="center" wrapText="1"/>
    </xf>
    <xf numFmtId="0" fontId="13" fillId="0" borderId="1" xfId="0" applyFont="1" applyFill="1" applyBorder="1" applyAlignment="1"/>
    <xf numFmtId="0" fontId="1" fillId="0" borderId="1" xfId="0" applyFont="1" applyFill="1" applyBorder="1" applyAlignment="1"/>
    <xf numFmtId="165" fontId="20" fillId="0" borderId="1" xfId="0" applyNumberFormat="1" applyFont="1" applyFill="1" applyBorder="1" applyAlignment="1">
      <alignment horizontal="center" wrapText="1"/>
    </xf>
    <xf numFmtId="165" fontId="8" fillId="0" borderId="1" xfId="0" applyNumberFormat="1" applyFont="1" applyFill="1" applyBorder="1" applyAlignment="1">
      <alignment horizontal="center"/>
    </xf>
    <xf numFmtId="9" fontId="4" fillId="0" borderId="1" xfId="2" applyNumberFormat="1" applyFont="1" applyFill="1" applyBorder="1" applyAlignment="1">
      <alignment horizontal="center" vertical="center" wrapText="1"/>
    </xf>
    <xf numFmtId="0" fontId="15" fillId="0" borderId="0" xfId="0" applyFont="1" applyFill="1" applyAlignment="1"/>
    <xf numFmtId="0" fontId="15" fillId="0" borderId="0" xfId="0" applyFont="1" applyFill="1" applyBorder="1"/>
    <xf numFmtId="0" fontId="1" fillId="0" borderId="0" xfId="0" applyFont="1" applyFill="1" applyAlignment="1"/>
    <xf numFmtId="165" fontId="1" fillId="0" borderId="1" xfId="1" applyNumberFormat="1" applyFont="1" applyFill="1" applyBorder="1" applyAlignment="1">
      <alignment horizontal="center" vertical="center" wrapText="1"/>
    </xf>
    <xf numFmtId="169" fontId="1" fillId="0" borderId="1" xfId="0" applyNumberFormat="1" applyFont="1" applyFill="1" applyBorder="1" applyAlignment="1">
      <alignment horizontal="center" vertical="center" wrapText="1"/>
    </xf>
    <xf numFmtId="166" fontId="16" fillId="0" borderId="1" xfId="0" applyNumberFormat="1" applyFont="1" applyFill="1" applyBorder="1" applyAlignment="1">
      <alignment horizontal="center" vertical="center"/>
    </xf>
    <xf numFmtId="166" fontId="17" fillId="0" borderId="1" xfId="0" applyNumberFormat="1" applyFont="1" applyFill="1" applyBorder="1" applyAlignment="1">
      <alignment horizontal="center" vertical="center"/>
    </xf>
    <xf numFmtId="9" fontId="17" fillId="0" borderId="1" xfId="0" applyNumberFormat="1" applyFont="1" applyFill="1" applyBorder="1" applyAlignment="1">
      <alignment horizontal="center" vertical="center"/>
    </xf>
    <xf numFmtId="9" fontId="16" fillId="0" borderId="1" xfId="0" applyNumberFormat="1" applyFont="1" applyFill="1" applyBorder="1" applyAlignment="1">
      <alignment horizontal="center" vertical="center"/>
    </xf>
    <xf numFmtId="0" fontId="18" fillId="0" borderId="14" xfId="0" applyFont="1" applyFill="1" applyBorder="1" applyAlignment="1">
      <alignment horizontal="center" vertical="center" wrapText="1"/>
    </xf>
    <xf numFmtId="166" fontId="16" fillId="0" borderId="1" xfId="0" applyNumberFormat="1" applyFont="1" applyFill="1" applyBorder="1" applyAlignment="1">
      <alignment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167" fontId="8" fillId="0" borderId="1" xfId="0" applyNumberFormat="1" applyFont="1" applyFill="1" applyBorder="1" applyAlignment="1">
      <alignment horizontal="center" vertical="center"/>
    </xf>
    <xf numFmtId="165" fontId="5" fillId="0" borderId="1" xfId="1" applyNumberFormat="1" applyFont="1" applyFill="1" applyBorder="1" applyAlignment="1">
      <alignment horizontal="center" vertical="center" wrapText="1"/>
    </xf>
    <xf numFmtId="169" fontId="1" fillId="0" borderId="1" xfId="1" applyNumberFormat="1" applyFont="1" applyFill="1" applyBorder="1" applyAlignment="1">
      <alignment horizontal="center" vertical="center" wrapText="1"/>
    </xf>
    <xf numFmtId="171" fontId="8" fillId="0" borderId="1" xfId="0" applyNumberFormat="1" applyFont="1" applyFill="1" applyBorder="1" applyAlignment="1">
      <alignment horizontal="center" vertical="center" wrapText="1"/>
    </xf>
    <xf numFmtId="169" fontId="5" fillId="0" borderId="1" xfId="1" applyNumberFormat="1" applyFont="1" applyFill="1" applyBorder="1" applyAlignment="1">
      <alignment horizontal="center" vertical="center" wrapText="1"/>
    </xf>
    <xf numFmtId="170" fontId="16" fillId="0" borderId="1" xfId="0" applyNumberFormat="1" applyFont="1" applyFill="1" applyBorder="1" applyAlignment="1">
      <alignment horizontal="center" vertical="center"/>
    </xf>
    <xf numFmtId="170" fontId="1" fillId="0" borderId="1" xfId="0" applyNumberFormat="1" applyFont="1" applyFill="1" applyBorder="1" applyAlignment="1">
      <alignment horizontal="center" vertical="center"/>
    </xf>
    <xf numFmtId="166" fontId="16" fillId="0" borderId="1" xfId="2" applyNumberFormat="1" applyFont="1" applyFill="1" applyBorder="1" applyAlignment="1">
      <alignment horizontal="center" vertical="center" wrapText="1"/>
    </xf>
    <xf numFmtId="170" fontId="8" fillId="0" borderId="0" xfId="0" applyNumberFormat="1" applyFont="1" applyFill="1"/>
    <xf numFmtId="0" fontId="1"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3" xfId="0"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5" fontId="5" fillId="0" borderId="1" xfId="2" applyNumberFormat="1" applyFont="1" applyFill="1" applyBorder="1" applyAlignment="1">
      <alignment horizontal="center" vertical="center" wrapText="1"/>
    </xf>
    <xf numFmtId="9" fontId="5" fillId="0" borderId="1" xfId="2" applyNumberFormat="1" applyFont="1" applyFill="1" applyBorder="1" applyAlignment="1">
      <alignment horizontal="center" vertical="center" wrapText="1"/>
    </xf>
    <xf numFmtId="165" fontId="8" fillId="0" borderId="1" xfId="1" applyNumberFormat="1" applyFont="1" applyFill="1" applyBorder="1" applyAlignment="1">
      <alignment horizontal="center" vertical="center" wrapText="1"/>
    </xf>
    <xf numFmtId="0" fontId="32" fillId="0" borderId="1" xfId="0" applyFont="1" applyFill="1" applyBorder="1" applyAlignment="1">
      <alignment horizontal="left" wrapText="1"/>
    </xf>
    <xf numFmtId="9" fontId="8" fillId="0" borderId="1" xfId="2" applyNumberFormat="1" applyFont="1" applyFill="1" applyBorder="1" applyAlignment="1">
      <alignment horizontal="center" wrapText="1"/>
    </xf>
    <xf numFmtId="9" fontId="1" fillId="0" borderId="1" xfId="2" applyNumberFormat="1" applyFont="1" applyFill="1" applyBorder="1" applyAlignment="1">
      <alignment horizontal="center" wrapText="1"/>
    </xf>
    <xf numFmtId="0" fontId="1" fillId="0" borderId="1" xfId="0" applyFont="1" applyFill="1" applyBorder="1" applyAlignment="1">
      <alignment horizontal="center"/>
    </xf>
    <xf numFmtId="0" fontId="21" fillId="0" borderId="0" xfId="0" applyFont="1" applyFill="1" applyAlignment="1">
      <alignment wrapText="1"/>
    </xf>
    <xf numFmtId="0" fontId="16" fillId="0" borderId="8" xfId="0" applyFont="1" applyFill="1" applyBorder="1" applyAlignment="1">
      <alignment horizontal="left" vertical="center" wrapText="1"/>
    </xf>
    <xf numFmtId="2" fontId="16" fillId="0" borderId="3" xfId="0" applyNumberFormat="1" applyFont="1" applyFill="1" applyBorder="1" applyAlignment="1">
      <alignment horizontal="center" vertical="center" wrapText="1"/>
    </xf>
    <xf numFmtId="0" fontId="9" fillId="0" borderId="8" xfId="0" applyFont="1" applyFill="1" applyBorder="1" applyAlignment="1">
      <alignment horizontal="left" vertical="center" wrapText="1"/>
    </xf>
    <xf numFmtId="2" fontId="9"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8" fillId="0" borderId="1" xfId="0" applyFont="1" applyFill="1" applyBorder="1" applyAlignment="1">
      <alignment horizontal="center"/>
    </xf>
    <xf numFmtId="49" fontId="1" fillId="0"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1" fillId="0" borderId="0" xfId="0" applyFont="1" applyFill="1" applyBorder="1"/>
    <xf numFmtId="0" fontId="17" fillId="0" borderId="1" xfId="0" applyFont="1" applyFill="1" applyBorder="1" applyAlignment="1">
      <alignment horizontal="center" vertical="center" wrapText="1"/>
    </xf>
    <xf numFmtId="165" fontId="4" fillId="0" borderId="1" xfId="1" applyNumberFormat="1" applyFont="1" applyFill="1" applyBorder="1" applyAlignment="1">
      <alignment horizontal="center" vertical="center" wrapText="1"/>
    </xf>
    <xf numFmtId="165" fontId="33" fillId="0" borderId="1" xfId="2" applyNumberFormat="1" applyFont="1" applyFill="1" applyBorder="1" applyAlignment="1">
      <alignment horizontal="center" vertical="center" wrapText="1"/>
    </xf>
    <xf numFmtId="165" fontId="33" fillId="0" borderId="1" xfId="0" applyNumberFormat="1" applyFont="1" applyFill="1" applyBorder="1" applyAlignment="1">
      <alignment horizontal="center" vertical="center" wrapText="1"/>
    </xf>
    <xf numFmtId="9" fontId="33" fillId="0" borderId="1" xfId="2" applyNumberFormat="1" applyFont="1" applyFill="1" applyBorder="1" applyAlignment="1">
      <alignment horizontal="center" vertical="center" wrapText="1"/>
    </xf>
    <xf numFmtId="165" fontId="20" fillId="0" borderId="1" xfId="1" applyNumberFormat="1" applyFont="1" applyFill="1" applyBorder="1" applyAlignment="1">
      <alignment horizontal="center" vertical="center" wrapText="1"/>
    </xf>
    <xf numFmtId="171" fontId="1" fillId="0" borderId="1" xfId="0" applyNumberFormat="1" applyFont="1" applyFill="1" applyBorder="1" applyAlignment="1">
      <alignment horizontal="center" vertical="center" wrapText="1"/>
    </xf>
    <xf numFmtId="171" fontId="20" fillId="0" borderId="1" xfId="0"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9" fontId="1" fillId="0" borderId="7" xfId="2" applyNumberFormat="1" applyFont="1" applyFill="1" applyBorder="1" applyAlignment="1">
      <alignment horizontal="center" vertical="center" wrapText="1"/>
    </xf>
    <xf numFmtId="9" fontId="1" fillId="0" borderId="4" xfId="2"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1" fillId="0" borderId="3" xfId="2" applyNumberFormat="1" applyFont="1" applyFill="1" applyBorder="1" applyAlignment="1">
      <alignment horizontal="center" vertical="center" wrapText="1"/>
    </xf>
    <xf numFmtId="49" fontId="1" fillId="0" borderId="7" xfId="2" applyNumberFormat="1" applyFont="1" applyFill="1" applyBorder="1" applyAlignment="1">
      <alignment horizontal="center" vertical="center" wrapText="1"/>
    </xf>
    <xf numFmtId="49" fontId="1" fillId="0" borderId="4" xfId="2"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0" xfId="0" applyFont="1" applyFill="1" applyAlignment="1">
      <alignment horizontal="center"/>
    </xf>
    <xf numFmtId="0" fontId="1" fillId="0" borderId="0"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6" fillId="0" borderId="3"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8" fillId="0" borderId="1" xfId="3"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 fillId="0" borderId="0" xfId="0" applyFont="1" applyFill="1" applyBorder="1"/>
    <xf numFmtId="0" fontId="17" fillId="0" borderId="0" xfId="0" applyFont="1" applyFill="1" applyBorder="1" applyAlignment="1">
      <alignment horizontal="center" vertical="center" wrapText="1"/>
    </xf>
    <xf numFmtId="49" fontId="16" fillId="0" borderId="3" xfId="0" applyNumberFormat="1" applyFont="1" applyFill="1" applyBorder="1" applyAlignment="1">
      <alignment horizontal="center" vertical="center" wrapText="1"/>
    </xf>
    <xf numFmtId="49" fontId="16" fillId="0" borderId="7"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17" fillId="0" borderId="12"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0" fillId="0" borderId="13" xfId="0" applyFont="1" applyFill="1" applyBorder="1" applyAlignment="1">
      <alignment horizontal="center"/>
    </xf>
    <xf numFmtId="0" fontId="22" fillId="0" borderId="12"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7" fillId="0" borderId="7" xfId="0" applyFont="1" applyFill="1" applyBorder="1" applyAlignment="1">
      <alignment horizontal="center" vertical="center" wrapText="1"/>
    </xf>
    <xf numFmtId="49" fontId="22" fillId="0" borderId="2" xfId="0" applyNumberFormat="1" applyFont="1" applyFill="1" applyBorder="1" applyAlignment="1">
      <alignment horizontal="center" vertical="center" wrapText="1"/>
    </xf>
    <xf numFmtId="49" fontId="22" fillId="0" borderId="8" xfId="0" applyNumberFormat="1" applyFont="1" applyFill="1" applyBorder="1" applyAlignment="1">
      <alignment horizontal="center" vertical="center" wrapText="1"/>
    </xf>
    <xf numFmtId="0" fontId="14" fillId="0" borderId="0" xfId="0" applyFont="1" applyFill="1" applyBorder="1" applyAlignment="1">
      <alignment horizontal="center"/>
    </xf>
    <xf numFmtId="0" fontId="17" fillId="0" borderId="1" xfId="0" applyFont="1" applyFill="1" applyBorder="1" applyAlignment="1">
      <alignment horizontal="center" vertical="center" textRotation="90" wrapText="1"/>
    </xf>
    <xf numFmtId="165" fontId="1" fillId="0" borderId="0" xfId="0" applyNumberFormat="1" applyFont="1" applyFill="1" applyBorder="1" applyAlignment="1">
      <alignment horizontal="center" vertical="center" wrapText="1"/>
    </xf>
    <xf numFmtId="165" fontId="8" fillId="0" borderId="1" xfId="2" applyNumberFormat="1" applyFont="1" applyFill="1" applyBorder="1" applyAlignment="1">
      <alignment horizontal="center" vertical="center" wrapText="1"/>
    </xf>
    <xf numFmtId="0" fontId="8" fillId="0" borderId="1" xfId="0" applyFont="1" applyFill="1" applyBorder="1" applyAlignment="1"/>
    <xf numFmtId="0" fontId="8" fillId="0" borderId="1" xfId="0" applyFont="1" applyFill="1" applyBorder="1" applyAlignment="1">
      <alignment horizontal="center" wrapText="1"/>
    </xf>
    <xf numFmtId="167" fontId="8" fillId="0" borderId="1" xfId="2" applyNumberFormat="1" applyFont="1" applyFill="1" applyBorder="1" applyAlignment="1">
      <alignment horizontal="center" vertical="center" wrapText="1"/>
    </xf>
    <xf numFmtId="0" fontId="1" fillId="0" borderId="0" xfId="0" applyFont="1" applyFill="1" applyBorder="1" applyAlignment="1"/>
  </cellXfs>
  <cellStyles count="4">
    <cellStyle name="Обычный" xfId="0" builtinId="0"/>
    <cellStyle name="Обычный 2 2" xfId="3"/>
    <cellStyle name="Процентный" xfId="2" builtinId="5"/>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533400</xdr:colOff>
      <xdr:row>37</xdr:row>
      <xdr:rowOff>1162050</xdr:rowOff>
    </xdr:from>
    <xdr:to>
      <xdr:col>8</xdr:col>
      <xdr:colOff>581025</xdr:colOff>
      <xdr:row>37</xdr:row>
      <xdr:rowOff>1171575</xdr:rowOff>
    </xdr:to>
    <xdr:pic>
      <xdr:nvPicPr>
        <xdr:cNvPr id="2" name="Picture 1"/>
        <xdr:cNvPicPr>
          <a:picLocks noChangeArrowheads="1"/>
        </xdr:cNvPicPr>
      </xdr:nvPicPr>
      <xdr:blipFill>
        <a:blip xmlns:r="http://schemas.openxmlformats.org/officeDocument/2006/relationships" r:embed="rId1"/>
        <a:srcRect/>
        <a:stretch>
          <a:fillRect/>
        </a:stretch>
      </xdr:blipFill>
      <xdr:spPr bwMode="auto">
        <a:xfrm>
          <a:off x="533400" y="28327350"/>
          <a:ext cx="12515850" cy="0"/>
        </a:xfrm>
        <a:prstGeom prst="rect">
          <a:avLst/>
        </a:prstGeom>
        <a:noFill/>
        <a:ln w="9525">
          <a:noFill/>
          <a:miter lim="800000"/>
          <a:headEnd/>
          <a:tailEnd/>
        </a:ln>
      </xdr:spPr>
    </xdr:pic>
    <xdr:clientData/>
  </xdr:twoCellAnchor>
  <xdr:twoCellAnchor>
    <xdr:from>
      <xdr:col>1</xdr:col>
      <xdr:colOff>533400</xdr:colOff>
      <xdr:row>37</xdr:row>
      <xdr:rowOff>1162050</xdr:rowOff>
    </xdr:from>
    <xdr:to>
      <xdr:col>8</xdr:col>
      <xdr:colOff>581025</xdr:colOff>
      <xdr:row>37</xdr:row>
      <xdr:rowOff>1171575</xdr:rowOff>
    </xdr:to>
    <xdr:pic>
      <xdr:nvPicPr>
        <xdr:cNvPr id="3" name="Picture 2"/>
        <xdr:cNvPicPr>
          <a:picLocks noChangeArrowheads="1"/>
        </xdr:cNvPicPr>
      </xdr:nvPicPr>
      <xdr:blipFill>
        <a:blip xmlns:r="http://schemas.openxmlformats.org/officeDocument/2006/relationships" r:embed="rId1"/>
        <a:srcRect/>
        <a:stretch>
          <a:fillRect/>
        </a:stretch>
      </xdr:blipFill>
      <xdr:spPr bwMode="auto">
        <a:xfrm>
          <a:off x="533400" y="28327350"/>
          <a:ext cx="12515850" cy="0"/>
        </a:xfrm>
        <a:prstGeom prst="rect">
          <a:avLst/>
        </a:prstGeom>
        <a:noFill/>
        <a:ln w="9525">
          <a:noFill/>
          <a:miter lim="800000"/>
          <a:headEnd/>
          <a:tailEnd/>
        </a:ln>
      </xdr:spPr>
    </xdr:pic>
    <xdr:clientData/>
  </xdr:twoCellAnchor>
  <xdr:twoCellAnchor>
    <xdr:from>
      <xdr:col>1</xdr:col>
      <xdr:colOff>533400</xdr:colOff>
      <xdr:row>37</xdr:row>
      <xdr:rowOff>1162050</xdr:rowOff>
    </xdr:from>
    <xdr:to>
      <xdr:col>8</xdr:col>
      <xdr:colOff>581025</xdr:colOff>
      <xdr:row>37</xdr:row>
      <xdr:rowOff>1171575</xdr:rowOff>
    </xdr:to>
    <xdr:pic>
      <xdr:nvPicPr>
        <xdr:cNvPr id="4" name="Picture 1"/>
        <xdr:cNvPicPr>
          <a:picLocks noChangeArrowheads="1"/>
        </xdr:cNvPicPr>
      </xdr:nvPicPr>
      <xdr:blipFill>
        <a:blip xmlns:r="http://schemas.openxmlformats.org/officeDocument/2006/relationships" r:embed="rId1"/>
        <a:srcRect/>
        <a:stretch>
          <a:fillRect/>
        </a:stretch>
      </xdr:blipFill>
      <xdr:spPr bwMode="auto">
        <a:xfrm>
          <a:off x="533400" y="28327350"/>
          <a:ext cx="12515850" cy="0"/>
        </a:xfrm>
        <a:prstGeom prst="rect">
          <a:avLst/>
        </a:prstGeom>
        <a:noFill/>
        <a:ln w="9525">
          <a:noFill/>
          <a:miter lim="800000"/>
          <a:headEnd/>
          <a:tailEnd/>
        </a:ln>
      </xdr:spPr>
    </xdr:pic>
    <xdr:clientData/>
  </xdr:twoCellAnchor>
  <xdr:twoCellAnchor>
    <xdr:from>
      <xdr:col>1</xdr:col>
      <xdr:colOff>533400</xdr:colOff>
      <xdr:row>37</xdr:row>
      <xdr:rowOff>1162050</xdr:rowOff>
    </xdr:from>
    <xdr:to>
      <xdr:col>8</xdr:col>
      <xdr:colOff>581025</xdr:colOff>
      <xdr:row>37</xdr:row>
      <xdr:rowOff>1171575</xdr:rowOff>
    </xdr:to>
    <xdr:pic>
      <xdr:nvPicPr>
        <xdr:cNvPr id="5" name="Picture 2"/>
        <xdr:cNvPicPr>
          <a:picLocks noChangeArrowheads="1"/>
        </xdr:cNvPicPr>
      </xdr:nvPicPr>
      <xdr:blipFill>
        <a:blip xmlns:r="http://schemas.openxmlformats.org/officeDocument/2006/relationships" r:embed="rId1"/>
        <a:srcRect/>
        <a:stretch>
          <a:fillRect/>
        </a:stretch>
      </xdr:blipFill>
      <xdr:spPr bwMode="auto">
        <a:xfrm>
          <a:off x="533400" y="28327350"/>
          <a:ext cx="1251585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5"/>
  <sheetViews>
    <sheetView view="pageBreakPreview" topLeftCell="A180" zoomScale="75" zoomScaleNormal="80" zoomScaleSheetLayoutView="75" workbookViewId="0">
      <selection activeCell="H239" sqref="H239"/>
    </sheetView>
  </sheetViews>
  <sheetFormatPr defaultColWidth="7.85546875" defaultRowHeight="15" x14ac:dyDescent="0.25"/>
  <cols>
    <col min="1" max="1" width="3.7109375" style="4" customWidth="1"/>
    <col min="2" max="2" width="37.7109375" style="8" customWidth="1"/>
    <col min="3" max="3" width="25.140625" style="4" customWidth="1"/>
    <col min="4" max="4" width="16.85546875" style="7" customWidth="1"/>
    <col min="5" max="8" width="14.28515625" style="4" customWidth="1"/>
    <col min="9" max="9" width="20" style="7" customWidth="1"/>
    <col min="10" max="13" width="14.28515625" style="4" customWidth="1"/>
    <col min="14" max="14" width="13.140625" style="7" customWidth="1"/>
    <col min="15" max="16" width="13.140625" style="4" customWidth="1"/>
    <col min="17" max="17" width="13.28515625" style="4" customWidth="1"/>
    <col min="18" max="18" width="16.28515625" style="4" customWidth="1"/>
    <col min="19" max="19" width="13.140625" style="7" customWidth="1"/>
    <col min="20" max="23" width="13.140625" style="4" customWidth="1"/>
    <col min="24" max="24" width="42.28515625" style="4" customWidth="1"/>
    <col min="25" max="16384" width="7.85546875" style="4"/>
  </cols>
  <sheetData>
    <row r="1" spans="1:24" ht="24" customHeight="1" x14ac:dyDescent="0.25">
      <c r="W1" s="205" t="s">
        <v>11</v>
      </c>
      <c r="X1" s="205"/>
    </row>
    <row r="2" spans="1:24" ht="22.5" customHeight="1" x14ac:dyDescent="0.25">
      <c r="A2" s="206" t="s">
        <v>315</v>
      </c>
      <c r="B2" s="206"/>
      <c r="C2" s="206"/>
      <c r="D2" s="206"/>
      <c r="E2" s="206"/>
      <c r="F2" s="206"/>
      <c r="G2" s="206"/>
      <c r="H2" s="206"/>
      <c r="I2" s="206"/>
      <c r="J2" s="206"/>
      <c r="K2" s="206"/>
      <c r="L2" s="206"/>
      <c r="M2" s="206"/>
      <c r="N2" s="206"/>
      <c r="O2" s="206"/>
      <c r="P2" s="206"/>
      <c r="Q2" s="206"/>
      <c r="R2" s="206"/>
      <c r="S2" s="206"/>
      <c r="T2" s="206"/>
      <c r="U2" s="206"/>
      <c r="V2" s="206"/>
      <c r="W2" s="206"/>
      <c r="X2" s="206"/>
    </row>
    <row r="3" spans="1:24" ht="21.75" customHeight="1" x14ac:dyDescent="0.25">
      <c r="A3" s="207"/>
      <c r="B3" s="207"/>
      <c r="C3" s="207"/>
      <c r="D3" s="207"/>
      <c r="E3" s="207"/>
      <c r="F3" s="207"/>
      <c r="G3" s="207"/>
      <c r="H3" s="13"/>
      <c r="I3" s="14"/>
      <c r="J3" s="13"/>
      <c r="K3" s="13"/>
      <c r="L3" s="13"/>
      <c r="M3" s="13"/>
      <c r="N3" s="14"/>
      <c r="O3" s="13"/>
      <c r="P3" s="13"/>
      <c r="Q3" s="13"/>
      <c r="R3" s="13"/>
      <c r="S3" s="14"/>
      <c r="T3" s="13"/>
      <c r="U3" s="13"/>
      <c r="V3" s="13"/>
      <c r="W3" s="13"/>
      <c r="X3" s="13" t="s">
        <v>24</v>
      </c>
    </row>
    <row r="4" spans="1:24" ht="29.25" customHeight="1" x14ac:dyDescent="0.25">
      <c r="A4" s="208" t="s">
        <v>0</v>
      </c>
      <c r="B4" s="208" t="s">
        <v>25</v>
      </c>
      <c r="C4" s="208" t="s">
        <v>5</v>
      </c>
      <c r="D4" s="210" t="s">
        <v>316</v>
      </c>
      <c r="E4" s="211"/>
      <c r="F4" s="211"/>
      <c r="G4" s="211"/>
      <c r="H4" s="211"/>
      <c r="I4" s="210" t="s">
        <v>317</v>
      </c>
      <c r="J4" s="211"/>
      <c r="K4" s="211"/>
      <c r="L4" s="211"/>
      <c r="M4" s="211"/>
      <c r="N4" s="210" t="s">
        <v>3</v>
      </c>
      <c r="O4" s="211"/>
      <c r="P4" s="211"/>
      <c r="Q4" s="211"/>
      <c r="R4" s="211"/>
      <c r="S4" s="210" t="s">
        <v>19</v>
      </c>
      <c r="T4" s="211"/>
      <c r="U4" s="211"/>
      <c r="V4" s="211"/>
      <c r="W4" s="211"/>
      <c r="X4" s="212" t="s">
        <v>96</v>
      </c>
    </row>
    <row r="5" spans="1:24" ht="46.5" customHeight="1" x14ac:dyDescent="0.25">
      <c r="A5" s="209"/>
      <c r="B5" s="209"/>
      <c r="C5" s="209"/>
      <c r="D5" s="164" t="s">
        <v>6</v>
      </c>
      <c r="E5" s="159" t="s">
        <v>7</v>
      </c>
      <c r="F5" s="159" t="s">
        <v>8</v>
      </c>
      <c r="G5" s="159" t="s">
        <v>9</v>
      </c>
      <c r="H5" s="159" t="s">
        <v>10</v>
      </c>
      <c r="I5" s="164" t="s">
        <v>6</v>
      </c>
      <c r="J5" s="159" t="s">
        <v>7</v>
      </c>
      <c r="K5" s="159" t="s">
        <v>8</v>
      </c>
      <c r="L5" s="159" t="s">
        <v>9</v>
      </c>
      <c r="M5" s="159" t="s">
        <v>10</v>
      </c>
      <c r="N5" s="164" t="s">
        <v>6</v>
      </c>
      <c r="O5" s="159" t="s">
        <v>7</v>
      </c>
      <c r="P5" s="159" t="s">
        <v>8</v>
      </c>
      <c r="Q5" s="159" t="s">
        <v>9</v>
      </c>
      <c r="R5" s="159" t="s">
        <v>10</v>
      </c>
      <c r="S5" s="164" t="s">
        <v>6</v>
      </c>
      <c r="T5" s="159" t="s">
        <v>7</v>
      </c>
      <c r="U5" s="159" t="s">
        <v>8</v>
      </c>
      <c r="V5" s="159" t="s">
        <v>9</v>
      </c>
      <c r="W5" s="159" t="s">
        <v>10</v>
      </c>
      <c r="X5" s="212"/>
    </row>
    <row r="6" spans="1:24" x14ac:dyDescent="0.25">
      <c r="A6" s="160">
        <v>1</v>
      </c>
      <c r="B6" s="162">
        <v>2</v>
      </c>
      <c r="C6" s="160">
        <v>4</v>
      </c>
      <c r="D6" s="163">
        <v>5</v>
      </c>
      <c r="E6" s="160">
        <v>6</v>
      </c>
      <c r="F6" s="160">
        <v>9</v>
      </c>
      <c r="G6" s="160">
        <v>12</v>
      </c>
      <c r="H6" s="160">
        <v>15</v>
      </c>
      <c r="I6" s="163">
        <v>18</v>
      </c>
      <c r="J6" s="160">
        <v>19</v>
      </c>
      <c r="K6" s="160">
        <v>22</v>
      </c>
      <c r="L6" s="160">
        <v>25</v>
      </c>
      <c r="M6" s="160">
        <v>28</v>
      </c>
      <c r="N6" s="163">
        <v>31</v>
      </c>
      <c r="O6" s="160">
        <v>32</v>
      </c>
      <c r="P6" s="160">
        <v>35</v>
      </c>
      <c r="Q6" s="160">
        <v>38</v>
      </c>
      <c r="R6" s="160">
        <v>41</v>
      </c>
      <c r="S6" s="163">
        <v>44</v>
      </c>
      <c r="T6" s="160">
        <v>45</v>
      </c>
      <c r="U6" s="160">
        <v>48</v>
      </c>
      <c r="V6" s="160">
        <v>52</v>
      </c>
      <c r="W6" s="160">
        <v>55</v>
      </c>
      <c r="X6" s="160">
        <v>58</v>
      </c>
    </row>
    <row r="7" spans="1:24" s="7" customFormat="1" ht="36" customHeight="1" x14ac:dyDescent="0.2">
      <c r="A7" s="203">
        <v>1</v>
      </c>
      <c r="B7" s="204" t="s">
        <v>26</v>
      </c>
      <c r="C7" s="158" t="s">
        <v>1</v>
      </c>
      <c r="D7" s="168">
        <f>D11+D15+D19</f>
        <v>0</v>
      </c>
      <c r="E7" s="132">
        <f>E11+E15+E19</f>
        <v>0</v>
      </c>
      <c r="F7" s="132">
        <f t="shared" ref="F7:H7" si="0">F11+F15+F19</f>
        <v>0</v>
      </c>
      <c r="G7" s="132">
        <f t="shared" si="0"/>
        <v>0</v>
      </c>
      <c r="H7" s="132">
        <f t="shared" si="0"/>
        <v>0</v>
      </c>
      <c r="I7" s="46">
        <f>J7+K7+L7+M7</f>
        <v>0</v>
      </c>
      <c r="J7" s="132">
        <f>J11+J15+J19</f>
        <v>0</v>
      </c>
      <c r="K7" s="132">
        <f t="shared" ref="K7:M7" si="1">K11+K15+K19</f>
        <v>0</v>
      </c>
      <c r="L7" s="132">
        <f t="shared" si="1"/>
        <v>0</v>
      </c>
      <c r="M7" s="132">
        <f t="shared" si="1"/>
        <v>0</v>
      </c>
      <c r="N7" s="46">
        <f>I7-D7</f>
        <v>0</v>
      </c>
      <c r="O7" s="45">
        <f>J7-E7</f>
        <v>0</v>
      </c>
      <c r="P7" s="45">
        <f t="shared" ref="P7:R10" si="2">K7-F7</f>
        <v>0</v>
      </c>
      <c r="Q7" s="45">
        <f t="shared" si="2"/>
        <v>0</v>
      </c>
      <c r="R7" s="45">
        <f t="shared" si="2"/>
        <v>0</v>
      </c>
      <c r="S7" s="18" t="s">
        <v>126</v>
      </c>
      <c r="T7" s="18" t="s">
        <v>126</v>
      </c>
      <c r="U7" s="18" t="s">
        <v>126</v>
      </c>
      <c r="V7" s="18" t="s">
        <v>126</v>
      </c>
      <c r="W7" s="18" t="s">
        <v>126</v>
      </c>
      <c r="X7" s="158"/>
    </row>
    <row r="8" spans="1:24" s="7" customFormat="1" ht="36" customHeight="1" x14ac:dyDescent="0.2">
      <c r="A8" s="203"/>
      <c r="B8" s="204"/>
      <c r="C8" s="158" t="s">
        <v>2</v>
      </c>
      <c r="D8" s="168">
        <f t="shared" ref="D8:H10" si="3">D12+D16+D20</f>
        <v>443701.38799999998</v>
      </c>
      <c r="E8" s="132">
        <f t="shared" si="3"/>
        <v>131471.90400000001</v>
      </c>
      <c r="F8" s="132">
        <f t="shared" si="3"/>
        <v>157352.97</v>
      </c>
      <c r="G8" s="132">
        <f t="shared" si="3"/>
        <v>69472.990479999993</v>
      </c>
      <c r="H8" s="132">
        <f t="shared" si="3"/>
        <v>85403.523519999988</v>
      </c>
      <c r="I8" s="46">
        <f t="shared" ref="I8:I10" si="4">J8+K8+L8+M8</f>
        <v>437586.93233000004</v>
      </c>
      <c r="J8" s="132">
        <f t="shared" ref="J8:M10" si="5">J12+J16+J20</f>
        <v>74453.992450000005</v>
      </c>
      <c r="K8" s="132">
        <f t="shared" si="5"/>
        <v>146234.77837000001</v>
      </c>
      <c r="L8" s="132">
        <f t="shared" si="5"/>
        <v>56723.210320000006</v>
      </c>
      <c r="M8" s="132">
        <f t="shared" si="5"/>
        <v>160174.95118999999</v>
      </c>
      <c r="N8" s="46">
        <f t="shared" ref="N8:O10" si="6">I8-D8</f>
        <v>-6114.4556699999375</v>
      </c>
      <c r="O8" s="45">
        <f>J8-E8</f>
        <v>-57017.911550000004</v>
      </c>
      <c r="P8" s="45">
        <f t="shared" si="2"/>
        <v>-11118.191629999987</v>
      </c>
      <c r="Q8" s="45">
        <f t="shared" si="2"/>
        <v>-12749.780159999988</v>
      </c>
      <c r="R8" s="45">
        <f t="shared" si="2"/>
        <v>74771.427670000005</v>
      </c>
      <c r="S8" s="18">
        <f t="shared" ref="S8:W16" si="7">I8/D8</f>
        <v>0.98621943533338696</v>
      </c>
      <c r="T8" s="20">
        <f t="shared" si="7"/>
        <v>0.56631105342476817</v>
      </c>
      <c r="U8" s="20">
        <f t="shared" si="7"/>
        <v>0.92934234650925251</v>
      </c>
      <c r="V8" s="20">
        <f t="shared" si="7"/>
        <v>0.81647860453523424</v>
      </c>
      <c r="W8" s="20">
        <f t="shared" si="7"/>
        <v>1.875507526952209</v>
      </c>
      <c r="X8" s="158"/>
    </row>
    <row r="9" spans="1:24" s="7" customFormat="1" ht="36" customHeight="1" x14ac:dyDescent="0.2">
      <c r="A9" s="203"/>
      <c r="B9" s="204"/>
      <c r="C9" s="158" t="s">
        <v>4</v>
      </c>
      <c r="D9" s="168">
        <f t="shared" si="3"/>
        <v>354011.07947000006</v>
      </c>
      <c r="E9" s="132">
        <f t="shared" si="3"/>
        <v>145981.36800000002</v>
      </c>
      <c r="F9" s="132">
        <f t="shared" si="3"/>
        <v>102027.848</v>
      </c>
      <c r="G9" s="132">
        <f t="shared" si="3"/>
        <v>52875.914470000003</v>
      </c>
      <c r="H9" s="132">
        <f t="shared" si="3"/>
        <v>53125.949000000001</v>
      </c>
      <c r="I9" s="46">
        <f t="shared" si="4"/>
        <v>337376.77579999994</v>
      </c>
      <c r="J9" s="132">
        <f t="shared" si="5"/>
        <v>75969.991589999991</v>
      </c>
      <c r="K9" s="132">
        <f t="shared" si="5"/>
        <v>112225.35455</v>
      </c>
      <c r="L9" s="132">
        <f t="shared" si="5"/>
        <v>50611.244480000001</v>
      </c>
      <c r="M9" s="132">
        <f t="shared" si="5"/>
        <v>98570.18518</v>
      </c>
      <c r="N9" s="46">
        <f t="shared" si="6"/>
        <v>-16634.30367000011</v>
      </c>
      <c r="O9" s="45">
        <f t="shared" si="6"/>
        <v>-70011.376410000026</v>
      </c>
      <c r="P9" s="45">
        <f t="shared" si="2"/>
        <v>10197.506550000006</v>
      </c>
      <c r="Q9" s="45">
        <f t="shared" si="2"/>
        <v>-2264.6699900000021</v>
      </c>
      <c r="R9" s="45">
        <f t="shared" si="2"/>
        <v>45444.23618</v>
      </c>
      <c r="S9" s="18">
        <f t="shared" si="7"/>
        <v>0.9530119122404197</v>
      </c>
      <c r="T9" s="20">
        <f t="shared" si="7"/>
        <v>0.52040882087089346</v>
      </c>
      <c r="U9" s="20">
        <f t="shared" si="7"/>
        <v>1.0999482665752198</v>
      </c>
      <c r="V9" s="20">
        <f t="shared" si="7"/>
        <v>0.95717010263179658</v>
      </c>
      <c r="W9" s="20">
        <f t="shared" si="7"/>
        <v>1.8554056357656783</v>
      </c>
      <c r="X9" s="158"/>
    </row>
    <row r="10" spans="1:24" s="7" customFormat="1" ht="36" customHeight="1" x14ac:dyDescent="0.2">
      <c r="A10" s="203"/>
      <c r="B10" s="204"/>
      <c r="C10" s="158" t="s">
        <v>21</v>
      </c>
      <c r="D10" s="168">
        <f t="shared" si="3"/>
        <v>797712.46747000015</v>
      </c>
      <c r="E10" s="132">
        <f t="shared" si="3"/>
        <v>277453.272</v>
      </c>
      <c r="F10" s="132">
        <f t="shared" si="3"/>
        <v>259380.81800000003</v>
      </c>
      <c r="G10" s="132">
        <f t="shared" si="3"/>
        <v>122348.90495</v>
      </c>
      <c r="H10" s="132">
        <f t="shared" si="3"/>
        <v>138529.47251999998</v>
      </c>
      <c r="I10" s="46">
        <f t="shared" si="4"/>
        <v>774963.70812999993</v>
      </c>
      <c r="J10" s="132">
        <f t="shared" si="5"/>
        <v>150423.98404000001</v>
      </c>
      <c r="K10" s="132">
        <f t="shared" si="5"/>
        <v>258460.13292</v>
      </c>
      <c r="L10" s="132">
        <f t="shared" si="5"/>
        <v>107334.45480000002</v>
      </c>
      <c r="M10" s="132">
        <f t="shared" si="5"/>
        <v>258745.13636999996</v>
      </c>
      <c r="N10" s="46">
        <f t="shared" si="6"/>
        <v>-22748.759340000222</v>
      </c>
      <c r="O10" s="45">
        <f t="shared" si="6"/>
        <v>-127029.28795999999</v>
      </c>
      <c r="P10" s="45">
        <f t="shared" si="2"/>
        <v>-920.68508000002475</v>
      </c>
      <c r="Q10" s="45">
        <f t="shared" si="2"/>
        <v>-15014.450149999975</v>
      </c>
      <c r="R10" s="45">
        <f t="shared" si="2"/>
        <v>120215.66384999998</v>
      </c>
      <c r="S10" s="18">
        <f t="shared" si="7"/>
        <v>0.97148250746017617</v>
      </c>
      <c r="T10" s="20">
        <f t="shared" si="7"/>
        <v>0.54215970478805531</v>
      </c>
      <c r="U10" s="20">
        <f t="shared" si="7"/>
        <v>0.99645045039529478</v>
      </c>
      <c r="V10" s="20">
        <f t="shared" si="7"/>
        <v>0.87728169568713432</v>
      </c>
      <c r="W10" s="20">
        <f t="shared" si="7"/>
        <v>1.8677984667316483</v>
      </c>
      <c r="X10" s="158"/>
    </row>
    <row r="11" spans="1:24" ht="36" customHeight="1" x14ac:dyDescent="0.25">
      <c r="A11" s="203"/>
      <c r="B11" s="204" t="s">
        <v>45</v>
      </c>
      <c r="C11" s="158" t="s">
        <v>1</v>
      </c>
      <c r="D11" s="46">
        <f t="shared" ref="D11:D22" si="8">E11+F11+G11+H11</f>
        <v>0</v>
      </c>
      <c r="E11" s="132">
        <v>0</v>
      </c>
      <c r="F11" s="132">
        <v>0</v>
      </c>
      <c r="G11" s="132">
        <v>0</v>
      </c>
      <c r="H11" s="132">
        <v>0</v>
      </c>
      <c r="I11" s="46">
        <f>J11+K11+L11+M11</f>
        <v>0</v>
      </c>
      <c r="J11" s="132">
        <v>0</v>
      </c>
      <c r="K11" s="132">
        <v>0</v>
      </c>
      <c r="L11" s="132">
        <v>0</v>
      </c>
      <c r="M11" s="132">
        <v>0</v>
      </c>
      <c r="N11" s="46">
        <f>I11-D11</f>
        <v>0</v>
      </c>
      <c r="O11" s="45">
        <f>J11-E11</f>
        <v>0</v>
      </c>
      <c r="P11" s="45">
        <f>K11-F11</f>
        <v>0</v>
      </c>
      <c r="Q11" s="45">
        <f>L11-G11</f>
        <v>0</v>
      </c>
      <c r="R11" s="45">
        <f>M11-H11</f>
        <v>0</v>
      </c>
      <c r="S11" s="18" t="s">
        <v>126</v>
      </c>
      <c r="T11" s="18" t="s">
        <v>126</v>
      </c>
      <c r="U11" s="18" t="s">
        <v>126</v>
      </c>
      <c r="V11" s="18" t="s">
        <v>126</v>
      </c>
      <c r="W11" s="18" t="s">
        <v>126</v>
      </c>
      <c r="X11" s="158"/>
    </row>
    <row r="12" spans="1:24" ht="36" customHeight="1" x14ac:dyDescent="0.25">
      <c r="A12" s="203"/>
      <c r="B12" s="204"/>
      <c r="C12" s="158" t="s">
        <v>2</v>
      </c>
      <c r="D12" s="46">
        <f t="shared" si="8"/>
        <v>439606.10499999998</v>
      </c>
      <c r="E12" s="45">
        <v>131471.90400000001</v>
      </c>
      <c r="F12" s="45">
        <v>156294.33300000001</v>
      </c>
      <c r="G12" s="45">
        <v>66622.990479999993</v>
      </c>
      <c r="H12" s="45">
        <v>85216.877519999995</v>
      </c>
      <c r="I12" s="46">
        <f t="shared" ref="I12:I22" si="9">J12+K12+L12+M12</f>
        <v>434040.92206000001</v>
      </c>
      <c r="J12" s="45">
        <v>74453.992450000005</v>
      </c>
      <c r="K12" s="45">
        <v>146234.77837000001</v>
      </c>
      <c r="L12" s="45">
        <v>53366.285900000003</v>
      </c>
      <c r="M12" s="45">
        <v>159985.86533999999</v>
      </c>
      <c r="N12" s="46">
        <f t="shared" ref="N12:R22" si="10">I12-D12</f>
        <v>-5565.1829399999697</v>
      </c>
      <c r="O12" s="45">
        <f t="shared" si="10"/>
        <v>-57017.911550000004</v>
      </c>
      <c r="P12" s="45">
        <f t="shared" si="10"/>
        <v>-10059.554629999999</v>
      </c>
      <c r="Q12" s="45">
        <f t="shared" si="10"/>
        <v>-13256.704579999991</v>
      </c>
      <c r="R12" s="45">
        <f t="shared" si="10"/>
        <v>74768.987819999995</v>
      </c>
      <c r="S12" s="18">
        <f t="shared" si="7"/>
        <v>0.98734052399022076</v>
      </c>
      <c r="T12" s="20">
        <f>J12/E12</f>
        <v>0.56631105342476817</v>
      </c>
      <c r="U12" s="20">
        <f t="shared" si="7"/>
        <v>0.93563711212741152</v>
      </c>
      <c r="V12" s="20">
        <f t="shared" si="7"/>
        <v>0.80101907037662001</v>
      </c>
      <c r="W12" s="20">
        <f t="shared" si="7"/>
        <v>1.8773964735149098</v>
      </c>
      <c r="X12" s="158"/>
    </row>
    <row r="13" spans="1:24" ht="36" customHeight="1" x14ac:dyDescent="0.25">
      <c r="A13" s="203"/>
      <c r="B13" s="204"/>
      <c r="C13" s="158" t="s">
        <v>4</v>
      </c>
      <c r="D13" s="46">
        <f t="shared" si="8"/>
        <v>316360.03864000004</v>
      </c>
      <c r="E13" s="45">
        <v>135841.80100000001</v>
      </c>
      <c r="F13" s="45">
        <v>91434.631999999998</v>
      </c>
      <c r="G13" s="45">
        <v>42922.378640000003</v>
      </c>
      <c r="H13" s="45">
        <v>46161.226999999999</v>
      </c>
      <c r="I13" s="46">
        <f t="shared" si="9"/>
        <v>302291.01711999997</v>
      </c>
      <c r="J13" s="45">
        <v>69314.239279999994</v>
      </c>
      <c r="K13" s="45">
        <v>102208.39135000001</v>
      </c>
      <c r="L13" s="45">
        <v>43663.320350000002</v>
      </c>
      <c r="M13" s="45">
        <v>87105.066139999995</v>
      </c>
      <c r="N13" s="46">
        <f t="shared" si="10"/>
        <v>-14069.021520000068</v>
      </c>
      <c r="O13" s="45">
        <f t="shared" si="10"/>
        <v>-66527.561720000012</v>
      </c>
      <c r="P13" s="45">
        <f t="shared" si="10"/>
        <v>10773.759350000008</v>
      </c>
      <c r="Q13" s="45">
        <f t="shared" si="10"/>
        <v>740.94170999999915</v>
      </c>
      <c r="R13" s="45">
        <f t="shared" si="10"/>
        <v>40943.839139999996</v>
      </c>
      <c r="S13" s="18">
        <f t="shared" si="7"/>
        <v>0.95552844922992997</v>
      </c>
      <c r="T13" s="20">
        <f t="shared" si="7"/>
        <v>0.51025706939795357</v>
      </c>
      <c r="U13" s="20">
        <f t="shared" si="7"/>
        <v>1.117830182222421</v>
      </c>
      <c r="V13" s="20">
        <f t="shared" si="7"/>
        <v>1.017262363677802</v>
      </c>
      <c r="W13" s="20">
        <f t="shared" si="7"/>
        <v>1.8869746711888746</v>
      </c>
      <c r="X13" s="158"/>
    </row>
    <row r="14" spans="1:24" ht="36" customHeight="1" x14ac:dyDescent="0.25">
      <c r="A14" s="203"/>
      <c r="B14" s="204"/>
      <c r="C14" s="158" t="s">
        <v>20</v>
      </c>
      <c r="D14" s="46">
        <f t="shared" si="8"/>
        <v>755966.14364000014</v>
      </c>
      <c r="E14" s="45">
        <f t="shared" ref="E14:H14" si="11">E11+E12+E13</f>
        <v>267313.70500000002</v>
      </c>
      <c r="F14" s="45">
        <f t="shared" si="11"/>
        <v>247728.96500000003</v>
      </c>
      <c r="G14" s="45">
        <f t="shared" si="11"/>
        <v>109545.36911999999</v>
      </c>
      <c r="H14" s="45">
        <f t="shared" si="11"/>
        <v>131378.10451999999</v>
      </c>
      <c r="I14" s="46">
        <f t="shared" si="9"/>
        <v>736331.93917999999</v>
      </c>
      <c r="J14" s="45">
        <f t="shared" ref="J14:M14" si="12">J11+J12+J13</f>
        <v>143768.23173</v>
      </c>
      <c r="K14" s="45">
        <f t="shared" si="12"/>
        <v>248443.16972000001</v>
      </c>
      <c r="L14" s="45">
        <f t="shared" si="12"/>
        <v>97029.606250000012</v>
      </c>
      <c r="M14" s="45">
        <f t="shared" si="12"/>
        <v>247090.93147999997</v>
      </c>
      <c r="N14" s="46">
        <f t="shared" si="10"/>
        <v>-19634.204460000154</v>
      </c>
      <c r="O14" s="45">
        <f t="shared" ref="O14:R14" si="13">O11+O12+O13</f>
        <v>-123545.47327000002</v>
      </c>
      <c r="P14" s="45">
        <f t="shared" si="13"/>
        <v>714.20472000000882</v>
      </c>
      <c r="Q14" s="45">
        <f t="shared" si="13"/>
        <v>-12515.762869999991</v>
      </c>
      <c r="R14" s="45">
        <f t="shared" si="13"/>
        <v>115712.82695999999</v>
      </c>
      <c r="S14" s="18">
        <f>I14/D14</f>
        <v>0.97402766694621945</v>
      </c>
      <c r="T14" s="20">
        <f t="shared" si="7"/>
        <v>0.53782589160552019</v>
      </c>
      <c r="U14" s="20">
        <f t="shared" si="7"/>
        <v>1.0028830085331362</v>
      </c>
      <c r="V14" s="20">
        <f t="shared" si="7"/>
        <v>0.88574813366788918</v>
      </c>
      <c r="W14" s="20">
        <f t="shared" si="7"/>
        <v>1.8807618848115193</v>
      </c>
      <c r="X14" s="158"/>
    </row>
    <row r="15" spans="1:24" ht="36" customHeight="1" x14ac:dyDescent="0.25">
      <c r="A15" s="203"/>
      <c r="B15" s="204" t="s">
        <v>46</v>
      </c>
      <c r="C15" s="160" t="s">
        <v>1</v>
      </c>
      <c r="D15" s="46">
        <f t="shared" si="8"/>
        <v>0</v>
      </c>
      <c r="E15" s="132">
        <v>0</v>
      </c>
      <c r="F15" s="45">
        <v>0</v>
      </c>
      <c r="G15" s="132">
        <v>0</v>
      </c>
      <c r="H15" s="132">
        <v>0</v>
      </c>
      <c r="I15" s="46">
        <f t="shared" si="9"/>
        <v>0</v>
      </c>
      <c r="J15" s="132">
        <v>0</v>
      </c>
      <c r="K15" s="132">
        <v>0</v>
      </c>
      <c r="L15" s="132">
        <v>0</v>
      </c>
      <c r="M15" s="45">
        <v>0</v>
      </c>
      <c r="N15" s="46">
        <f t="shared" si="10"/>
        <v>0</v>
      </c>
      <c r="O15" s="45">
        <f>J15-E15</f>
        <v>0</v>
      </c>
      <c r="P15" s="45">
        <f>K15-F15</f>
        <v>0</v>
      </c>
      <c r="Q15" s="45">
        <f>L15-G15</f>
        <v>0</v>
      </c>
      <c r="R15" s="45">
        <f>M15-H15</f>
        <v>0</v>
      </c>
      <c r="S15" s="18" t="s">
        <v>126</v>
      </c>
      <c r="T15" s="18" t="s">
        <v>126</v>
      </c>
      <c r="U15" s="18" t="s">
        <v>126</v>
      </c>
      <c r="V15" s="18" t="s">
        <v>126</v>
      </c>
      <c r="W15" s="18" t="s">
        <v>126</v>
      </c>
      <c r="X15" s="158"/>
    </row>
    <row r="16" spans="1:24" ht="36" customHeight="1" x14ac:dyDescent="0.25">
      <c r="A16" s="203"/>
      <c r="B16" s="204"/>
      <c r="C16" s="158" t="s">
        <v>2</v>
      </c>
      <c r="D16" s="46">
        <f t="shared" si="8"/>
        <v>2850</v>
      </c>
      <c r="E16" s="45">
        <v>0</v>
      </c>
      <c r="F16" s="45">
        <v>0</v>
      </c>
      <c r="G16" s="45">
        <v>2850</v>
      </c>
      <c r="H16" s="45">
        <v>0</v>
      </c>
      <c r="I16" s="46">
        <f t="shared" si="9"/>
        <v>2300.7272699999999</v>
      </c>
      <c r="J16" s="45">
        <v>0</v>
      </c>
      <c r="K16" s="45">
        <v>0</v>
      </c>
      <c r="L16" s="45">
        <v>2300.7272699999999</v>
      </c>
      <c r="M16" s="45">
        <v>0</v>
      </c>
      <c r="N16" s="46">
        <f>I16-D16</f>
        <v>-549.27273000000014</v>
      </c>
      <c r="O16" s="45">
        <f t="shared" ref="O16:R17" si="14">J16-E16</f>
        <v>0</v>
      </c>
      <c r="P16" s="45">
        <f t="shared" si="14"/>
        <v>0</v>
      </c>
      <c r="Q16" s="45">
        <f t="shared" si="14"/>
        <v>-549.27273000000014</v>
      </c>
      <c r="R16" s="45">
        <f t="shared" si="14"/>
        <v>0</v>
      </c>
      <c r="S16" s="18">
        <f t="shared" ref="S16:W22" si="15">I16/D16</f>
        <v>0.80727272631578939</v>
      </c>
      <c r="T16" s="18" t="s">
        <v>126</v>
      </c>
      <c r="U16" s="18" t="s">
        <v>126</v>
      </c>
      <c r="V16" s="20">
        <f t="shared" si="7"/>
        <v>0.80727272631578939</v>
      </c>
      <c r="W16" s="18" t="s">
        <v>126</v>
      </c>
      <c r="X16" s="158"/>
    </row>
    <row r="17" spans="1:24" ht="36" customHeight="1" x14ac:dyDescent="0.25">
      <c r="A17" s="203"/>
      <c r="B17" s="204"/>
      <c r="C17" s="158" t="s">
        <v>4</v>
      </c>
      <c r="D17" s="46">
        <f t="shared" si="8"/>
        <v>0</v>
      </c>
      <c r="E17" s="132">
        <v>0</v>
      </c>
      <c r="F17" s="132">
        <v>0</v>
      </c>
      <c r="G17" s="132">
        <v>0</v>
      </c>
      <c r="H17" s="132">
        <v>0</v>
      </c>
      <c r="I17" s="46">
        <f t="shared" si="9"/>
        <v>0</v>
      </c>
      <c r="J17" s="132">
        <v>0</v>
      </c>
      <c r="K17" s="132">
        <v>0</v>
      </c>
      <c r="L17" s="132">
        <v>0</v>
      </c>
      <c r="M17" s="132">
        <v>0</v>
      </c>
      <c r="N17" s="46">
        <f t="shared" si="10"/>
        <v>0</v>
      </c>
      <c r="O17" s="45">
        <f t="shared" si="14"/>
        <v>0</v>
      </c>
      <c r="P17" s="45">
        <f t="shared" si="14"/>
        <v>0</v>
      </c>
      <c r="Q17" s="45">
        <f t="shared" si="14"/>
        <v>0</v>
      </c>
      <c r="R17" s="45">
        <f t="shared" si="14"/>
        <v>0</v>
      </c>
      <c r="S17" s="18" t="s">
        <v>126</v>
      </c>
      <c r="T17" s="18" t="s">
        <v>126</v>
      </c>
      <c r="U17" s="18" t="s">
        <v>126</v>
      </c>
      <c r="V17" s="18" t="s">
        <v>126</v>
      </c>
      <c r="W17" s="18" t="s">
        <v>126</v>
      </c>
      <c r="X17" s="158"/>
    </row>
    <row r="18" spans="1:24" ht="36" customHeight="1" x14ac:dyDescent="0.25">
      <c r="A18" s="203"/>
      <c r="B18" s="204"/>
      <c r="C18" s="158" t="s">
        <v>20</v>
      </c>
      <c r="D18" s="46">
        <f t="shared" si="8"/>
        <v>2850</v>
      </c>
      <c r="E18" s="45">
        <f t="shared" ref="E18:G18" si="16">E15+E16+E17</f>
        <v>0</v>
      </c>
      <c r="F18" s="45">
        <f t="shared" si="16"/>
        <v>0</v>
      </c>
      <c r="G18" s="45">
        <f t="shared" si="16"/>
        <v>2850</v>
      </c>
      <c r="H18" s="45">
        <f>H15+H16+H17</f>
        <v>0</v>
      </c>
      <c r="I18" s="46">
        <f t="shared" si="9"/>
        <v>2300.7272699999999</v>
      </c>
      <c r="J18" s="45">
        <f t="shared" ref="J18:M18" si="17">J15+J16+J17</f>
        <v>0</v>
      </c>
      <c r="K18" s="45">
        <f t="shared" si="17"/>
        <v>0</v>
      </c>
      <c r="L18" s="45">
        <f t="shared" si="17"/>
        <v>2300.7272699999999</v>
      </c>
      <c r="M18" s="45">
        <f t="shared" si="17"/>
        <v>0</v>
      </c>
      <c r="N18" s="46">
        <f t="shared" si="10"/>
        <v>-549.27273000000014</v>
      </c>
      <c r="O18" s="45">
        <f t="shared" ref="O18:R18" si="18">O15+O16+O17</f>
        <v>0</v>
      </c>
      <c r="P18" s="45">
        <f t="shared" si="18"/>
        <v>0</v>
      </c>
      <c r="Q18" s="45">
        <f t="shared" si="18"/>
        <v>-549.27273000000014</v>
      </c>
      <c r="R18" s="45">
        <f t="shared" si="18"/>
        <v>0</v>
      </c>
      <c r="S18" s="18">
        <f t="shared" si="15"/>
        <v>0.80727272631578939</v>
      </c>
      <c r="T18" s="20" t="e">
        <f t="shared" si="15"/>
        <v>#DIV/0!</v>
      </c>
      <c r="U18" s="20" t="e">
        <f t="shared" si="15"/>
        <v>#DIV/0!</v>
      </c>
      <c r="V18" s="20">
        <f t="shared" si="15"/>
        <v>0.80727272631578939</v>
      </c>
      <c r="W18" s="20" t="e">
        <f t="shared" si="15"/>
        <v>#DIV/0!</v>
      </c>
      <c r="X18" s="158"/>
    </row>
    <row r="19" spans="1:24" ht="36" customHeight="1" x14ac:dyDescent="0.25">
      <c r="A19" s="203"/>
      <c r="B19" s="204" t="s">
        <v>47</v>
      </c>
      <c r="C19" s="158" t="s">
        <v>1</v>
      </c>
      <c r="D19" s="46">
        <f t="shared" si="8"/>
        <v>0</v>
      </c>
      <c r="E19" s="132">
        <v>0</v>
      </c>
      <c r="F19" s="132">
        <v>0</v>
      </c>
      <c r="G19" s="132">
        <v>0</v>
      </c>
      <c r="H19" s="132">
        <v>0</v>
      </c>
      <c r="I19" s="46">
        <f t="shared" si="9"/>
        <v>0</v>
      </c>
      <c r="J19" s="132">
        <v>0</v>
      </c>
      <c r="K19" s="132">
        <v>0</v>
      </c>
      <c r="L19" s="132">
        <v>0</v>
      </c>
      <c r="M19" s="132">
        <v>0</v>
      </c>
      <c r="N19" s="46">
        <f t="shared" si="10"/>
        <v>0</v>
      </c>
      <c r="O19" s="45">
        <f t="shared" si="10"/>
        <v>0</v>
      </c>
      <c r="P19" s="45">
        <f t="shared" si="10"/>
        <v>0</v>
      </c>
      <c r="Q19" s="45">
        <f t="shared" si="10"/>
        <v>0</v>
      </c>
      <c r="R19" s="45">
        <f t="shared" si="10"/>
        <v>0</v>
      </c>
      <c r="S19" s="18" t="s">
        <v>126</v>
      </c>
      <c r="T19" s="18" t="s">
        <v>126</v>
      </c>
      <c r="U19" s="18" t="s">
        <v>126</v>
      </c>
      <c r="V19" s="18" t="s">
        <v>126</v>
      </c>
      <c r="W19" s="18" t="s">
        <v>126</v>
      </c>
      <c r="X19" s="158"/>
    </row>
    <row r="20" spans="1:24" ht="36" customHeight="1" x14ac:dyDescent="0.25">
      <c r="A20" s="203"/>
      <c r="B20" s="204"/>
      <c r="C20" s="158" t="s">
        <v>2</v>
      </c>
      <c r="D20" s="46">
        <f t="shared" si="8"/>
        <v>1245.2829999999999</v>
      </c>
      <c r="E20" s="132">
        <v>0</v>
      </c>
      <c r="F20" s="45">
        <v>1058.6369999999999</v>
      </c>
      <c r="G20" s="45">
        <v>0</v>
      </c>
      <c r="H20" s="45">
        <v>186.64599999999999</v>
      </c>
      <c r="I20" s="46">
        <f t="shared" si="9"/>
        <v>1245.2829999999999</v>
      </c>
      <c r="J20" s="132">
        <v>0</v>
      </c>
      <c r="K20" s="45">
        <v>0</v>
      </c>
      <c r="L20" s="45">
        <v>1056.19715</v>
      </c>
      <c r="M20" s="45">
        <v>189.08584999999999</v>
      </c>
      <c r="N20" s="46">
        <f t="shared" si="10"/>
        <v>0</v>
      </c>
      <c r="O20" s="45">
        <f t="shared" si="10"/>
        <v>0</v>
      </c>
      <c r="P20" s="45">
        <f t="shared" si="10"/>
        <v>-1058.6369999999999</v>
      </c>
      <c r="Q20" s="45">
        <f t="shared" si="10"/>
        <v>1056.19715</v>
      </c>
      <c r="R20" s="45">
        <f t="shared" si="10"/>
        <v>2.439850000000007</v>
      </c>
      <c r="S20" s="18">
        <f t="shared" si="15"/>
        <v>1</v>
      </c>
      <c r="T20" s="18" t="s">
        <v>126</v>
      </c>
      <c r="U20" s="20">
        <f t="shared" si="15"/>
        <v>0</v>
      </c>
      <c r="V20" s="18" t="s">
        <v>126</v>
      </c>
      <c r="W20" s="20">
        <f t="shared" si="15"/>
        <v>1.0130720722651436</v>
      </c>
      <c r="X20" s="158"/>
    </row>
    <row r="21" spans="1:24" ht="36" customHeight="1" x14ac:dyDescent="0.25">
      <c r="A21" s="203"/>
      <c r="B21" s="204"/>
      <c r="C21" s="158" t="s">
        <v>4</v>
      </c>
      <c r="D21" s="46">
        <f t="shared" si="8"/>
        <v>37651.040829999998</v>
      </c>
      <c r="E21" s="45">
        <v>10139.566999999999</v>
      </c>
      <c r="F21" s="45">
        <v>10593.216</v>
      </c>
      <c r="G21" s="45">
        <v>9953.5358300000007</v>
      </c>
      <c r="H21" s="45">
        <v>6964.7219999999998</v>
      </c>
      <c r="I21" s="46">
        <f t="shared" si="9"/>
        <v>35085.758679999999</v>
      </c>
      <c r="J21" s="45">
        <v>6655.7523099999999</v>
      </c>
      <c r="K21" s="45">
        <v>10016.9632</v>
      </c>
      <c r="L21" s="45">
        <v>6947.9241300000003</v>
      </c>
      <c r="M21" s="45">
        <v>11465.11904</v>
      </c>
      <c r="N21" s="46">
        <f t="shared" si="10"/>
        <v>-2565.2821499999991</v>
      </c>
      <c r="O21" s="45">
        <f>J21-E21</f>
        <v>-3483.8146899999992</v>
      </c>
      <c r="P21" s="45">
        <f>K21-F21</f>
        <v>-576.25280000000021</v>
      </c>
      <c r="Q21" s="45">
        <f t="shared" si="10"/>
        <v>-3005.6117000000004</v>
      </c>
      <c r="R21" s="45">
        <f t="shared" si="10"/>
        <v>4500.3970399999998</v>
      </c>
      <c r="S21" s="18">
        <f t="shared" si="15"/>
        <v>0.93186689946812817</v>
      </c>
      <c r="T21" s="20">
        <f t="shared" si="15"/>
        <v>0.6564138596845408</v>
      </c>
      <c r="U21" s="20">
        <f t="shared" si="15"/>
        <v>0.94560171339846177</v>
      </c>
      <c r="V21" s="20">
        <f t="shared" si="15"/>
        <v>0.69803577830693353</v>
      </c>
      <c r="W21" s="20">
        <f t="shared" si="15"/>
        <v>1.6461703769367966</v>
      </c>
      <c r="X21" s="158" t="s">
        <v>373</v>
      </c>
    </row>
    <row r="22" spans="1:24" ht="36" customHeight="1" x14ac:dyDescent="0.25">
      <c r="A22" s="203"/>
      <c r="B22" s="204"/>
      <c r="C22" s="158" t="s">
        <v>20</v>
      </c>
      <c r="D22" s="46">
        <f t="shared" si="8"/>
        <v>38896.323830000001</v>
      </c>
      <c r="E22" s="45">
        <f t="shared" ref="E22:H22" si="19">E19+E20+E21</f>
        <v>10139.566999999999</v>
      </c>
      <c r="F22" s="45">
        <f t="shared" si="19"/>
        <v>11651.853000000001</v>
      </c>
      <c r="G22" s="45">
        <f t="shared" si="19"/>
        <v>9953.5358300000007</v>
      </c>
      <c r="H22" s="45">
        <f t="shared" si="19"/>
        <v>7151.3679999999995</v>
      </c>
      <c r="I22" s="46">
        <f t="shared" si="9"/>
        <v>36331.041680000002</v>
      </c>
      <c r="J22" s="45">
        <f t="shared" ref="J22:M22" si="20">J19+J20+J21</f>
        <v>6655.7523099999999</v>
      </c>
      <c r="K22" s="45">
        <f t="shared" si="20"/>
        <v>10016.9632</v>
      </c>
      <c r="L22" s="45">
        <f t="shared" si="20"/>
        <v>8004.1212800000003</v>
      </c>
      <c r="M22" s="45">
        <f t="shared" si="20"/>
        <v>11654.204889999999</v>
      </c>
      <c r="N22" s="46">
        <f t="shared" si="10"/>
        <v>-2565.2821499999991</v>
      </c>
      <c r="O22" s="45">
        <f t="shared" ref="O22:R22" si="21">O19+O20+O21</f>
        <v>-3483.8146899999992</v>
      </c>
      <c r="P22" s="45">
        <f t="shared" si="21"/>
        <v>-1634.8898000000002</v>
      </c>
      <c r="Q22" s="45">
        <f t="shared" si="21"/>
        <v>-1949.4145500000004</v>
      </c>
      <c r="R22" s="45">
        <f t="shared" si="21"/>
        <v>4502.8368899999996</v>
      </c>
      <c r="S22" s="18">
        <f t="shared" si="15"/>
        <v>0.93404821079720024</v>
      </c>
      <c r="T22" s="20">
        <f t="shared" si="15"/>
        <v>0.6564138596845408</v>
      </c>
      <c r="U22" s="20">
        <f t="shared" si="15"/>
        <v>0.85968842895632136</v>
      </c>
      <c r="V22" s="20">
        <f t="shared" si="15"/>
        <v>0.80414853743486248</v>
      </c>
      <c r="W22" s="20">
        <f t="shared" si="15"/>
        <v>1.6296469276927155</v>
      </c>
      <c r="X22" s="158"/>
    </row>
    <row r="23" spans="1:24" ht="36" customHeight="1" x14ac:dyDescent="0.25">
      <c r="A23" s="203">
        <v>2</v>
      </c>
      <c r="B23" s="204" t="s">
        <v>27</v>
      </c>
      <c r="C23" s="158" t="s">
        <v>1</v>
      </c>
      <c r="D23" s="21">
        <f t="shared" ref="D23:E25" si="22">D27+D31+D35+D39</f>
        <v>0</v>
      </c>
      <c r="E23" s="16">
        <f t="shared" si="22"/>
        <v>0</v>
      </c>
      <c r="F23" s="16">
        <f>F27+F31+F35+F39</f>
        <v>0</v>
      </c>
      <c r="G23" s="16">
        <f>G27+G31+G35+G39</f>
        <v>0</v>
      </c>
      <c r="H23" s="16">
        <f>H27+H31+H35+H39</f>
        <v>0</v>
      </c>
      <c r="I23" s="21">
        <f>J23+K23+L23+M23</f>
        <v>0</v>
      </c>
      <c r="J23" s="16">
        <f>J27+J31+J35+J39</f>
        <v>0</v>
      </c>
      <c r="K23" s="16">
        <f>K27+K31+K35+K39</f>
        <v>0</v>
      </c>
      <c r="L23" s="16">
        <f>L27+L31+L35+L39</f>
        <v>0</v>
      </c>
      <c r="M23" s="16">
        <f>M27+M31+M35+M39</f>
        <v>0</v>
      </c>
      <c r="N23" s="15">
        <f>I23-D23</f>
        <v>0</v>
      </c>
      <c r="O23" s="17">
        <f t="shared" ref="O23:R26" si="23">J23-E23</f>
        <v>0</v>
      </c>
      <c r="P23" s="17">
        <f t="shared" si="23"/>
        <v>0</v>
      </c>
      <c r="Q23" s="17">
        <f t="shared" si="23"/>
        <v>0</v>
      </c>
      <c r="R23" s="17">
        <f t="shared" si="23"/>
        <v>0</v>
      </c>
      <c r="S23" s="18" t="e">
        <f t="shared" ref="S23:S26" si="24">I23/D23</f>
        <v>#DIV/0!</v>
      </c>
      <c r="T23" s="18" t="e">
        <f t="shared" ref="T23:T26" si="25">J23/E23</f>
        <v>#DIV/0!</v>
      </c>
      <c r="U23" s="18" t="e">
        <f t="shared" ref="U23:U26" si="26">K23/F23</f>
        <v>#DIV/0!</v>
      </c>
      <c r="V23" s="18" t="e">
        <f t="shared" ref="V23:V26" si="27">L23/G23</f>
        <v>#DIV/0!</v>
      </c>
      <c r="W23" s="18" t="e">
        <f t="shared" ref="W23:W26" si="28">M23/H23</f>
        <v>#DIV/0!</v>
      </c>
      <c r="X23" s="158"/>
    </row>
    <row r="24" spans="1:24" ht="36" customHeight="1" x14ac:dyDescent="0.25">
      <c r="A24" s="203"/>
      <c r="B24" s="204"/>
      <c r="C24" s="158" t="s">
        <v>2</v>
      </c>
      <c r="D24" s="21">
        <f t="shared" si="22"/>
        <v>54607.38</v>
      </c>
      <c r="E24" s="16">
        <f t="shared" si="22"/>
        <v>12070.148000000001</v>
      </c>
      <c r="F24" s="16">
        <f t="shared" ref="E24:H26" si="29">F28+F32+F36+F40</f>
        <v>15742.203000000001</v>
      </c>
      <c r="G24" s="16">
        <f t="shared" si="29"/>
        <v>13341.666999999999</v>
      </c>
      <c r="H24" s="16">
        <f t="shared" si="29"/>
        <v>13453.362000000001</v>
      </c>
      <c r="I24" s="21">
        <f t="shared" ref="I24:I29" si="30">J24+K24+L24+M24</f>
        <v>54573.609830000001</v>
      </c>
      <c r="J24" s="16">
        <f t="shared" ref="I24:M26" si="31">J28+J32+J36+J40</f>
        <v>10889.23143</v>
      </c>
      <c r="K24" s="16">
        <f t="shared" si="31"/>
        <v>16034.2444</v>
      </c>
      <c r="L24" s="16">
        <f t="shared" si="31"/>
        <v>12729.471000000001</v>
      </c>
      <c r="M24" s="16">
        <f t="shared" si="31"/>
        <v>14920.663</v>
      </c>
      <c r="N24" s="15">
        <f t="shared" ref="N24:R39" si="32">I24-D24</f>
        <v>-33.770169999996142</v>
      </c>
      <c r="O24" s="17">
        <f t="shared" si="23"/>
        <v>-1180.9165700000012</v>
      </c>
      <c r="P24" s="17">
        <f t="shared" si="23"/>
        <v>292.04139999999825</v>
      </c>
      <c r="Q24" s="17">
        <f t="shared" si="23"/>
        <v>-612.19599999999809</v>
      </c>
      <c r="R24" s="17">
        <f t="shared" si="23"/>
        <v>1467.3009999999995</v>
      </c>
      <c r="S24" s="18">
        <f t="shared" si="24"/>
        <v>0.99938158230627439</v>
      </c>
      <c r="T24" s="20">
        <f t="shared" si="25"/>
        <v>0.90216221292398391</v>
      </c>
      <c r="U24" s="20">
        <f t="shared" si="26"/>
        <v>1.0185514949845329</v>
      </c>
      <c r="V24" s="20">
        <f t="shared" si="27"/>
        <v>0.95411397990970703</v>
      </c>
      <c r="W24" s="20">
        <f t="shared" si="28"/>
        <v>1.1090657487697126</v>
      </c>
      <c r="X24" s="158"/>
    </row>
    <row r="25" spans="1:24" ht="36" customHeight="1" x14ac:dyDescent="0.25">
      <c r="A25" s="203"/>
      <c r="B25" s="204"/>
      <c r="C25" s="158" t="s">
        <v>4</v>
      </c>
      <c r="D25" s="21">
        <f t="shared" si="22"/>
        <v>2259.5810000000001</v>
      </c>
      <c r="E25" s="16">
        <f t="shared" si="22"/>
        <v>418.69600000000003</v>
      </c>
      <c r="F25" s="16">
        <f t="shared" si="29"/>
        <v>671.66</v>
      </c>
      <c r="G25" s="16">
        <f t="shared" si="29"/>
        <v>690.36500000000001</v>
      </c>
      <c r="H25" s="16">
        <f t="shared" si="29"/>
        <v>478.86</v>
      </c>
      <c r="I25" s="21">
        <f t="shared" si="31"/>
        <v>2245.6578500000001</v>
      </c>
      <c r="J25" s="16">
        <f t="shared" si="31"/>
        <v>372.50133</v>
      </c>
      <c r="K25" s="16">
        <f t="shared" si="31"/>
        <v>524.42452000000003</v>
      </c>
      <c r="L25" s="16">
        <f t="shared" si="31"/>
        <v>406.36799999999999</v>
      </c>
      <c r="M25" s="16">
        <f t="shared" si="31"/>
        <v>942.36400000000003</v>
      </c>
      <c r="N25" s="15">
        <f t="shared" si="32"/>
        <v>-13.923150000000078</v>
      </c>
      <c r="O25" s="17">
        <f t="shared" si="23"/>
        <v>-46.194670000000031</v>
      </c>
      <c r="P25" s="17">
        <f t="shared" si="23"/>
        <v>-147.23547999999994</v>
      </c>
      <c r="Q25" s="17">
        <f t="shared" si="23"/>
        <v>-283.99700000000001</v>
      </c>
      <c r="R25" s="17">
        <f t="shared" si="23"/>
        <v>463.50400000000002</v>
      </c>
      <c r="S25" s="18">
        <f t="shared" si="24"/>
        <v>0.99383817176724354</v>
      </c>
      <c r="T25" s="20">
        <f t="shared" si="25"/>
        <v>0.88967014253778387</v>
      </c>
      <c r="U25" s="20">
        <f t="shared" si="26"/>
        <v>0.7807886728404253</v>
      </c>
      <c r="V25" s="20">
        <f t="shared" si="27"/>
        <v>0.58862775488328634</v>
      </c>
      <c r="W25" s="20">
        <f t="shared" si="28"/>
        <v>1.967932172242409</v>
      </c>
      <c r="X25" s="158"/>
    </row>
    <row r="26" spans="1:24" ht="36" customHeight="1" x14ac:dyDescent="0.25">
      <c r="A26" s="203"/>
      <c r="B26" s="204"/>
      <c r="C26" s="158" t="s">
        <v>21</v>
      </c>
      <c r="D26" s="21">
        <f>D30+D34+D38+D42</f>
        <v>56866.961000000003</v>
      </c>
      <c r="E26" s="16">
        <f t="shared" si="29"/>
        <v>12488.844000000001</v>
      </c>
      <c r="F26" s="16">
        <f t="shared" si="29"/>
        <v>16413.863000000001</v>
      </c>
      <c r="G26" s="16">
        <f t="shared" si="29"/>
        <v>14032.031999999999</v>
      </c>
      <c r="H26" s="16">
        <f t="shared" si="29"/>
        <v>13932.222000000002</v>
      </c>
      <c r="I26" s="21">
        <f t="shared" si="30"/>
        <v>56819.267680000004</v>
      </c>
      <c r="J26" s="16">
        <f t="shared" si="31"/>
        <v>11261.732759999999</v>
      </c>
      <c r="K26" s="16">
        <f t="shared" si="31"/>
        <v>16558.66892</v>
      </c>
      <c r="L26" s="16">
        <f t="shared" si="31"/>
        <v>13135.839000000002</v>
      </c>
      <c r="M26" s="16">
        <f t="shared" si="31"/>
        <v>15863.027</v>
      </c>
      <c r="N26" s="15">
        <f t="shared" si="32"/>
        <v>-47.693319999998494</v>
      </c>
      <c r="O26" s="17">
        <f t="shared" si="23"/>
        <v>-1227.111240000002</v>
      </c>
      <c r="P26" s="17">
        <f t="shared" ref="P26:R26" si="33">K26-F26</f>
        <v>144.80591999999888</v>
      </c>
      <c r="Q26" s="17">
        <f t="shared" si="33"/>
        <v>-896.19299999999748</v>
      </c>
      <c r="R26" s="17">
        <f t="shared" si="33"/>
        <v>1930.8049999999985</v>
      </c>
      <c r="S26" s="18">
        <f t="shared" si="24"/>
        <v>0.99916131758825655</v>
      </c>
      <c r="T26" s="20">
        <f t="shared" si="25"/>
        <v>0.90174340875744774</v>
      </c>
      <c r="U26" s="20">
        <f t="shared" si="26"/>
        <v>1.0088221718433985</v>
      </c>
      <c r="V26" s="20">
        <f t="shared" si="27"/>
        <v>0.93613234348382346</v>
      </c>
      <c r="W26" s="20">
        <f t="shared" si="28"/>
        <v>1.1385855752226743</v>
      </c>
      <c r="X26" s="158"/>
    </row>
    <row r="27" spans="1:24" ht="36" customHeight="1" x14ac:dyDescent="0.25">
      <c r="A27" s="203"/>
      <c r="B27" s="204" t="s">
        <v>48</v>
      </c>
      <c r="C27" s="158" t="s">
        <v>1</v>
      </c>
      <c r="D27" s="46">
        <f t="shared" ref="D27" si="34">E27+F27+G27+H27</f>
        <v>0</v>
      </c>
      <c r="E27" s="132">
        <v>0</v>
      </c>
      <c r="F27" s="132">
        <v>0</v>
      </c>
      <c r="G27" s="132">
        <v>0</v>
      </c>
      <c r="H27" s="132">
        <v>0</v>
      </c>
      <c r="I27" s="168">
        <f t="shared" si="30"/>
        <v>0</v>
      </c>
      <c r="J27" s="132">
        <v>0</v>
      </c>
      <c r="K27" s="132">
        <v>0</v>
      </c>
      <c r="L27" s="132">
        <v>0</v>
      </c>
      <c r="M27" s="132">
        <v>0</v>
      </c>
      <c r="N27" s="46">
        <f t="shared" si="32"/>
        <v>0</v>
      </c>
      <c r="O27" s="45">
        <v>0</v>
      </c>
      <c r="P27" s="45">
        <v>0</v>
      </c>
      <c r="Q27" s="45">
        <v>0</v>
      </c>
      <c r="R27" s="45">
        <v>0</v>
      </c>
      <c r="S27" s="18">
        <v>0</v>
      </c>
      <c r="T27" s="20"/>
      <c r="U27" s="20"/>
      <c r="V27" s="20"/>
      <c r="W27" s="20"/>
      <c r="X27" s="158"/>
    </row>
    <row r="28" spans="1:24" ht="36" customHeight="1" x14ac:dyDescent="0.25">
      <c r="A28" s="203"/>
      <c r="B28" s="204"/>
      <c r="C28" s="158" t="s">
        <v>2</v>
      </c>
      <c r="D28" s="46">
        <v>0</v>
      </c>
      <c r="E28" s="45">
        <v>0</v>
      </c>
      <c r="F28" s="45">
        <v>0</v>
      </c>
      <c r="G28" s="45">
        <v>0</v>
      </c>
      <c r="H28" s="45">
        <v>0</v>
      </c>
      <c r="I28" s="168">
        <f t="shared" si="30"/>
        <v>0</v>
      </c>
      <c r="J28" s="132">
        <v>0</v>
      </c>
      <c r="K28" s="132">
        <v>0</v>
      </c>
      <c r="L28" s="132">
        <v>0</v>
      </c>
      <c r="M28" s="132">
        <v>0</v>
      </c>
      <c r="N28" s="46">
        <f t="shared" si="32"/>
        <v>0</v>
      </c>
      <c r="O28" s="45">
        <v>0</v>
      </c>
      <c r="P28" s="45">
        <v>0</v>
      </c>
      <c r="Q28" s="45">
        <v>0</v>
      </c>
      <c r="R28" s="45">
        <v>0</v>
      </c>
      <c r="S28" s="18">
        <v>0</v>
      </c>
      <c r="T28" s="20"/>
      <c r="U28" s="20"/>
      <c r="V28" s="20"/>
      <c r="W28" s="20"/>
      <c r="X28" s="158"/>
    </row>
    <row r="29" spans="1:24" ht="36" customHeight="1" x14ac:dyDescent="0.25">
      <c r="A29" s="203"/>
      <c r="B29" s="204"/>
      <c r="C29" s="158" t="s">
        <v>4</v>
      </c>
      <c r="D29" s="46">
        <f>E29+F29+G29+H29</f>
        <v>1668.211</v>
      </c>
      <c r="E29" s="27">
        <v>353.52100000000002</v>
      </c>
      <c r="F29" s="27">
        <v>576.48500000000001</v>
      </c>
      <c r="G29" s="27">
        <v>386.52</v>
      </c>
      <c r="H29" s="27">
        <v>351.685</v>
      </c>
      <c r="I29" s="168">
        <f t="shared" si="30"/>
        <v>1655.3858499999999</v>
      </c>
      <c r="J29" s="45">
        <v>345.50133</v>
      </c>
      <c r="K29" s="132">
        <v>428.20852000000002</v>
      </c>
      <c r="L29" s="132">
        <v>345.52</v>
      </c>
      <c r="M29" s="132">
        <v>536.15599999999995</v>
      </c>
      <c r="N29" s="46">
        <f>I29-D29</f>
        <v>-12.825150000000122</v>
      </c>
      <c r="O29" s="45">
        <v>-81.486999999999995</v>
      </c>
      <c r="P29" s="45">
        <v>-71.307000000000002</v>
      </c>
      <c r="Q29" s="45">
        <v>-76.774000000000001</v>
      </c>
      <c r="R29" s="45">
        <v>-37.725000000000001</v>
      </c>
      <c r="S29" s="18">
        <f t="shared" ref="S29" si="35">I29/D29</f>
        <v>0.99231203366960163</v>
      </c>
      <c r="T29" s="20">
        <v>0.77</v>
      </c>
      <c r="U29" s="20">
        <v>0.87</v>
      </c>
      <c r="V29" s="20">
        <v>0.8</v>
      </c>
      <c r="W29" s="20">
        <v>0.89</v>
      </c>
      <c r="X29" s="118"/>
    </row>
    <row r="30" spans="1:24" ht="36" customHeight="1" x14ac:dyDescent="0.25">
      <c r="A30" s="203"/>
      <c r="B30" s="204"/>
      <c r="C30" s="158" t="s">
        <v>20</v>
      </c>
      <c r="D30" s="46">
        <f t="shared" ref="D30" si="36">D27+D28+D29</f>
        <v>1668.211</v>
      </c>
      <c r="E30" s="45">
        <f>E27+E28+E29</f>
        <v>353.52100000000002</v>
      </c>
      <c r="F30" s="45">
        <f>F27+F28+F29</f>
        <v>576.48500000000001</v>
      </c>
      <c r="G30" s="45">
        <f t="shared" ref="G30:M30" si="37">G27+G28+G29</f>
        <v>386.52</v>
      </c>
      <c r="H30" s="45">
        <f t="shared" si="37"/>
        <v>351.685</v>
      </c>
      <c r="I30" s="168">
        <f>J30+K30+L30+M30</f>
        <v>1655.3858499999999</v>
      </c>
      <c r="J30" s="45">
        <f t="shared" ref="J30" si="38">J27+J28+J29</f>
        <v>345.50133</v>
      </c>
      <c r="K30" s="45">
        <f t="shared" si="37"/>
        <v>428.20852000000002</v>
      </c>
      <c r="L30" s="45">
        <f t="shared" si="37"/>
        <v>345.52</v>
      </c>
      <c r="M30" s="45">
        <f t="shared" si="37"/>
        <v>536.15599999999995</v>
      </c>
      <c r="N30" s="46">
        <f t="shared" si="32"/>
        <v>-12.825150000000122</v>
      </c>
      <c r="O30" s="45">
        <f t="shared" si="32"/>
        <v>-8.0196700000000192</v>
      </c>
      <c r="P30" s="45">
        <f t="shared" si="32"/>
        <v>-148.27647999999999</v>
      </c>
      <c r="Q30" s="45">
        <f t="shared" si="32"/>
        <v>-41</v>
      </c>
      <c r="R30" s="45">
        <f t="shared" si="32"/>
        <v>184.47099999999995</v>
      </c>
      <c r="S30" s="18">
        <f>I30/D30</f>
        <v>0.99231203366960163</v>
      </c>
      <c r="T30" s="20">
        <f t="shared" ref="T30:W30" si="39">J30/E30</f>
        <v>0.97731486955513247</v>
      </c>
      <c r="U30" s="20">
        <f t="shared" si="39"/>
        <v>0.74279212815597984</v>
      </c>
      <c r="V30" s="20">
        <f t="shared" si="39"/>
        <v>0.89392528200351862</v>
      </c>
      <c r="W30" s="20">
        <f t="shared" si="39"/>
        <v>1.5245347398950764</v>
      </c>
      <c r="X30" s="169"/>
    </row>
    <row r="31" spans="1:24" ht="36" customHeight="1" x14ac:dyDescent="0.25">
      <c r="A31" s="203"/>
      <c r="B31" s="204" t="s">
        <v>49</v>
      </c>
      <c r="C31" s="158" t="s">
        <v>1</v>
      </c>
      <c r="D31" s="46">
        <f>E31+F31+G31+H31</f>
        <v>0</v>
      </c>
      <c r="E31" s="132">
        <v>0</v>
      </c>
      <c r="F31" s="45">
        <v>0</v>
      </c>
      <c r="G31" s="132">
        <v>0</v>
      </c>
      <c r="H31" s="132">
        <v>0</v>
      </c>
      <c r="I31" s="46">
        <f>J31+K31+L31+M31</f>
        <v>0</v>
      </c>
      <c r="J31" s="132">
        <v>0</v>
      </c>
      <c r="K31" s="132">
        <v>0</v>
      </c>
      <c r="L31" s="132">
        <v>0</v>
      </c>
      <c r="M31" s="45">
        <v>0</v>
      </c>
      <c r="N31" s="46">
        <f t="shared" si="32"/>
        <v>0</v>
      </c>
      <c r="O31" s="45">
        <f t="shared" si="32"/>
        <v>0</v>
      </c>
      <c r="P31" s="45">
        <f t="shared" si="32"/>
        <v>0</v>
      </c>
      <c r="Q31" s="45">
        <f t="shared" si="32"/>
        <v>0</v>
      </c>
      <c r="R31" s="45">
        <f t="shared" si="32"/>
        <v>0</v>
      </c>
      <c r="S31" s="18">
        <v>0</v>
      </c>
      <c r="T31" s="20">
        <v>0</v>
      </c>
      <c r="U31" s="20">
        <v>0</v>
      </c>
      <c r="V31" s="20">
        <v>0</v>
      </c>
      <c r="W31" s="20">
        <v>0</v>
      </c>
      <c r="X31" s="158"/>
    </row>
    <row r="32" spans="1:24" ht="36" customHeight="1" x14ac:dyDescent="0.25">
      <c r="A32" s="203"/>
      <c r="B32" s="204"/>
      <c r="C32" s="158" t="s">
        <v>2</v>
      </c>
      <c r="D32" s="46">
        <f>E32+F32+G32+H32</f>
        <v>281.2</v>
      </c>
      <c r="E32" s="45">
        <v>0</v>
      </c>
      <c r="F32" s="45">
        <v>281.2</v>
      </c>
      <c r="G32" s="45">
        <v>0</v>
      </c>
      <c r="H32" s="45">
        <v>0</v>
      </c>
      <c r="I32" s="46">
        <f t="shared" ref="I32:I33" si="40">J32+K32+L32+M32</f>
        <v>248.61500000000001</v>
      </c>
      <c r="J32" s="45">
        <v>0</v>
      </c>
      <c r="K32" s="45">
        <v>126.408</v>
      </c>
      <c r="L32" s="45">
        <v>122.20699999999999</v>
      </c>
      <c r="M32" s="45">
        <v>0</v>
      </c>
      <c r="N32" s="46">
        <f t="shared" si="32"/>
        <v>-32.58499999999998</v>
      </c>
      <c r="O32" s="45">
        <f t="shared" si="32"/>
        <v>0</v>
      </c>
      <c r="P32" s="45">
        <f t="shared" si="32"/>
        <v>-154.79199999999997</v>
      </c>
      <c r="Q32" s="45">
        <f t="shared" si="32"/>
        <v>122.20699999999999</v>
      </c>
      <c r="R32" s="45">
        <f t="shared" si="32"/>
        <v>0</v>
      </c>
      <c r="S32" s="18">
        <f t="shared" ref="S32:T34" si="41">I32/D32</f>
        <v>0.88412162162162167</v>
      </c>
      <c r="T32" s="20">
        <v>0</v>
      </c>
      <c r="U32" s="20">
        <f t="shared" ref="U32:W34" si="42">K32/F32</f>
        <v>0.44953058321479378</v>
      </c>
      <c r="V32" s="20">
        <v>0</v>
      </c>
      <c r="W32" s="20">
        <v>0</v>
      </c>
      <c r="X32" s="118"/>
    </row>
    <row r="33" spans="1:24" ht="36" customHeight="1" x14ac:dyDescent="0.25">
      <c r="A33" s="203"/>
      <c r="B33" s="204"/>
      <c r="C33" s="158" t="s">
        <v>4</v>
      </c>
      <c r="D33" s="46">
        <f t="shared" ref="D33" si="43">E33+F33+G33+H33</f>
        <v>591.37</v>
      </c>
      <c r="E33" s="55">
        <v>65.174999999999997</v>
      </c>
      <c r="F33" s="132">
        <v>95.174999999999997</v>
      </c>
      <c r="G33" s="132">
        <v>303.84500000000003</v>
      </c>
      <c r="H33" s="55">
        <v>127.175</v>
      </c>
      <c r="I33" s="46">
        <f t="shared" si="40"/>
        <v>590.27200000000005</v>
      </c>
      <c r="J33" s="132">
        <v>27</v>
      </c>
      <c r="K33" s="132">
        <v>96.215999999999994</v>
      </c>
      <c r="L33" s="132">
        <v>60.847999999999999</v>
      </c>
      <c r="M33" s="132">
        <v>406.20800000000003</v>
      </c>
      <c r="N33" s="46">
        <f t="shared" si="32"/>
        <v>-1.0979999999999563</v>
      </c>
      <c r="O33" s="45">
        <f t="shared" si="32"/>
        <v>-38.174999999999997</v>
      </c>
      <c r="P33" s="45">
        <f t="shared" si="32"/>
        <v>1.0409999999999968</v>
      </c>
      <c r="Q33" s="45">
        <f t="shared" si="32"/>
        <v>-242.99700000000001</v>
      </c>
      <c r="R33" s="45">
        <f t="shared" si="32"/>
        <v>279.03300000000002</v>
      </c>
      <c r="S33" s="18">
        <f t="shared" si="41"/>
        <v>0.99814329438422655</v>
      </c>
      <c r="T33" s="20">
        <f t="shared" si="41"/>
        <v>0.4142692750287687</v>
      </c>
      <c r="U33" s="20">
        <f t="shared" si="42"/>
        <v>1.0109377462568951</v>
      </c>
      <c r="V33" s="20">
        <f t="shared" si="42"/>
        <v>0.2002600009873455</v>
      </c>
      <c r="W33" s="20">
        <f t="shared" si="42"/>
        <v>3.1940868881462556</v>
      </c>
      <c r="X33" s="22"/>
    </row>
    <row r="34" spans="1:24" ht="36" customHeight="1" x14ac:dyDescent="0.25">
      <c r="A34" s="203"/>
      <c r="B34" s="204"/>
      <c r="C34" s="158" t="s">
        <v>20</v>
      </c>
      <c r="D34" s="46">
        <f t="shared" ref="D34:M34" si="44">D31+D32+D33</f>
        <v>872.56999999999994</v>
      </c>
      <c r="E34" s="45">
        <f t="shared" si="44"/>
        <v>65.174999999999997</v>
      </c>
      <c r="F34" s="45">
        <f t="shared" si="44"/>
        <v>376.375</v>
      </c>
      <c r="G34" s="45">
        <f t="shared" si="44"/>
        <v>303.84500000000003</v>
      </c>
      <c r="H34" s="45">
        <f t="shared" si="44"/>
        <v>127.175</v>
      </c>
      <c r="I34" s="46">
        <f t="shared" si="44"/>
        <v>838.88700000000006</v>
      </c>
      <c r="J34" s="45">
        <f t="shared" si="44"/>
        <v>27</v>
      </c>
      <c r="K34" s="45">
        <f t="shared" si="44"/>
        <v>222.624</v>
      </c>
      <c r="L34" s="45">
        <f t="shared" si="44"/>
        <v>183.05500000000001</v>
      </c>
      <c r="M34" s="45">
        <f t="shared" si="44"/>
        <v>406.20800000000003</v>
      </c>
      <c r="N34" s="46">
        <f t="shared" si="32"/>
        <v>-33.682999999999879</v>
      </c>
      <c r="O34" s="45">
        <f t="shared" si="32"/>
        <v>-38.174999999999997</v>
      </c>
      <c r="P34" s="45">
        <f t="shared" si="32"/>
        <v>-153.751</v>
      </c>
      <c r="Q34" s="45">
        <f t="shared" si="32"/>
        <v>-120.79000000000002</v>
      </c>
      <c r="R34" s="45">
        <f t="shared" si="32"/>
        <v>279.03300000000002</v>
      </c>
      <c r="S34" s="18">
        <f t="shared" si="41"/>
        <v>0.96139793942033314</v>
      </c>
      <c r="T34" s="20">
        <f t="shared" si="41"/>
        <v>0.4142692750287687</v>
      </c>
      <c r="U34" s="20">
        <f t="shared" si="42"/>
        <v>0.59149518432414483</v>
      </c>
      <c r="V34" s="20">
        <f t="shared" si="42"/>
        <v>0.60246178150043606</v>
      </c>
      <c r="W34" s="20">
        <f t="shared" si="42"/>
        <v>3.1940868881462556</v>
      </c>
      <c r="X34" s="158"/>
    </row>
    <row r="35" spans="1:24" ht="36" customHeight="1" x14ac:dyDescent="0.25">
      <c r="A35" s="203"/>
      <c r="B35" s="204" t="s">
        <v>50</v>
      </c>
      <c r="C35" s="158" t="s">
        <v>1</v>
      </c>
      <c r="D35" s="46">
        <f>E35+F35+G35+H35</f>
        <v>0</v>
      </c>
      <c r="E35" s="132">
        <v>0</v>
      </c>
      <c r="F35" s="132">
        <v>0</v>
      </c>
      <c r="G35" s="132">
        <v>0</v>
      </c>
      <c r="H35" s="132">
        <v>0</v>
      </c>
      <c r="I35" s="46">
        <f>J35+K35+L35+M35</f>
        <v>0</v>
      </c>
      <c r="J35" s="132">
        <v>0</v>
      </c>
      <c r="K35" s="132">
        <v>0</v>
      </c>
      <c r="L35" s="132">
        <v>0</v>
      </c>
      <c r="M35" s="132">
        <v>0</v>
      </c>
      <c r="N35" s="46">
        <f t="shared" si="32"/>
        <v>0</v>
      </c>
      <c r="O35" s="45">
        <f t="shared" si="32"/>
        <v>0</v>
      </c>
      <c r="P35" s="45">
        <f t="shared" si="32"/>
        <v>0</v>
      </c>
      <c r="Q35" s="45">
        <f t="shared" si="32"/>
        <v>0</v>
      </c>
      <c r="R35" s="45">
        <f t="shared" si="32"/>
        <v>0</v>
      </c>
      <c r="S35" s="18">
        <v>0</v>
      </c>
      <c r="T35" s="20">
        <v>0</v>
      </c>
      <c r="U35" s="20">
        <v>0</v>
      </c>
      <c r="V35" s="20">
        <v>0</v>
      </c>
      <c r="W35" s="20">
        <v>0</v>
      </c>
      <c r="X35" s="158"/>
    </row>
    <row r="36" spans="1:24" ht="36" customHeight="1" x14ac:dyDescent="0.25">
      <c r="A36" s="203"/>
      <c r="B36" s="204"/>
      <c r="C36" s="158" t="s">
        <v>2</v>
      </c>
      <c r="D36" s="46">
        <f t="shared" ref="D36:D37" si="45">E36+F36+G36+H36</f>
        <v>42042.39</v>
      </c>
      <c r="E36" s="132">
        <v>9079.1820000000007</v>
      </c>
      <c r="F36" s="45">
        <v>12047.800999999999</v>
      </c>
      <c r="G36" s="45">
        <v>10577.968999999999</v>
      </c>
      <c r="H36" s="45">
        <v>10337.438</v>
      </c>
      <c r="I36" s="46">
        <f t="shared" ref="I36:I37" si="46">J36+K36+L36+M36</f>
        <v>42042.39</v>
      </c>
      <c r="J36" s="132">
        <v>8450.7530000000006</v>
      </c>
      <c r="K36" s="45">
        <v>12449.861000000001</v>
      </c>
      <c r="L36" s="45">
        <v>9910.7180000000008</v>
      </c>
      <c r="M36" s="45">
        <v>11231.058000000001</v>
      </c>
      <c r="N36" s="46">
        <f t="shared" si="32"/>
        <v>0</v>
      </c>
      <c r="O36" s="45">
        <f t="shared" si="32"/>
        <v>-628.42900000000009</v>
      </c>
      <c r="P36" s="45">
        <f t="shared" si="32"/>
        <v>402.06000000000131</v>
      </c>
      <c r="Q36" s="45">
        <f t="shared" si="32"/>
        <v>-667.25099999999838</v>
      </c>
      <c r="R36" s="45">
        <f t="shared" si="32"/>
        <v>893.6200000000008</v>
      </c>
      <c r="S36" s="18">
        <f t="shared" ref="S36:T38" si="47">I36/D36</f>
        <v>1</v>
      </c>
      <c r="T36" s="20">
        <v>0</v>
      </c>
      <c r="U36" s="20">
        <f t="shared" ref="U36:W38" si="48">K36/F36</f>
        <v>1.0333720651594429</v>
      </c>
      <c r="V36" s="20">
        <f t="shared" si="48"/>
        <v>0.93692068865015599</v>
      </c>
      <c r="W36" s="20">
        <f t="shared" si="48"/>
        <v>1.0864450166472583</v>
      </c>
      <c r="X36" s="118"/>
    </row>
    <row r="37" spans="1:24" ht="36" customHeight="1" x14ac:dyDescent="0.25">
      <c r="A37" s="203"/>
      <c r="B37" s="204"/>
      <c r="C37" s="158" t="s">
        <v>4</v>
      </c>
      <c r="D37" s="46">
        <f t="shared" si="45"/>
        <v>0</v>
      </c>
      <c r="E37" s="56">
        <v>0</v>
      </c>
      <c r="F37" s="56">
        <v>0</v>
      </c>
      <c r="G37" s="56">
        <v>0</v>
      </c>
      <c r="H37" s="56">
        <v>0</v>
      </c>
      <c r="I37" s="46">
        <f t="shared" si="46"/>
        <v>0</v>
      </c>
      <c r="J37" s="56">
        <v>0</v>
      </c>
      <c r="K37" s="56">
        <v>0</v>
      </c>
      <c r="L37" s="56">
        <v>0</v>
      </c>
      <c r="M37" s="56">
        <v>0</v>
      </c>
      <c r="N37" s="46">
        <f t="shared" si="32"/>
        <v>0</v>
      </c>
      <c r="O37" s="45">
        <f t="shared" si="32"/>
        <v>0</v>
      </c>
      <c r="P37" s="45">
        <f t="shared" si="32"/>
        <v>0</v>
      </c>
      <c r="Q37" s="45">
        <f t="shared" si="32"/>
        <v>0</v>
      </c>
      <c r="R37" s="45">
        <f t="shared" si="32"/>
        <v>0</v>
      </c>
      <c r="S37" s="18">
        <v>0</v>
      </c>
      <c r="T37" s="20">
        <v>0</v>
      </c>
      <c r="U37" s="20">
        <v>0</v>
      </c>
      <c r="V37" s="20">
        <v>0</v>
      </c>
      <c r="W37" s="20">
        <v>0</v>
      </c>
      <c r="X37" s="158"/>
    </row>
    <row r="38" spans="1:24" ht="36" customHeight="1" x14ac:dyDescent="0.25">
      <c r="A38" s="203"/>
      <c r="B38" s="204"/>
      <c r="C38" s="158" t="s">
        <v>20</v>
      </c>
      <c r="D38" s="46">
        <f t="shared" ref="D38" si="49">D35+D36+D37</f>
        <v>42042.39</v>
      </c>
      <c r="E38" s="45">
        <f>E36</f>
        <v>9079.1820000000007</v>
      </c>
      <c r="F38" s="45">
        <f>F36</f>
        <v>12047.800999999999</v>
      </c>
      <c r="G38" s="45">
        <f>G36</f>
        <v>10577.968999999999</v>
      </c>
      <c r="H38" s="45">
        <f>H36</f>
        <v>10337.438</v>
      </c>
      <c r="I38" s="46">
        <f>J38+K38+L38+M38</f>
        <v>42042.39</v>
      </c>
      <c r="J38" s="45">
        <f t="shared" ref="J38:M38" si="50">J35+J36+J37</f>
        <v>8450.7530000000006</v>
      </c>
      <c r="K38" s="45">
        <f t="shared" si="50"/>
        <v>12449.861000000001</v>
      </c>
      <c r="L38" s="45">
        <f t="shared" si="50"/>
        <v>9910.7180000000008</v>
      </c>
      <c r="M38" s="45">
        <f t="shared" si="50"/>
        <v>11231.058000000001</v>
      </c>
      <c r="N38" s="46">
        <f t="shared" si="32"/>
        <v>0</v>
      </c>
      <c r="O38" s="45">
        <f t="shared" si="32"/>
        <v>-628.42900000000009</v>
      </c>
      <c r="P38" s="45">
        <f t="shared" si="32"/>
        <v>402.06000000000131</v>
      </c>
      <c r="Q38" s="45">
        <f t="shared" si="32"/>
        <v>-667.25099999999838</v>
      </c>
      <c r="R38" s="45">
        <f t="shared" si="32"/>
        <v>893.6200000000008</v>
      </c>
      <c r="S38" s="18">
        <f t="shared" si="47"/>
        <v>1</v>
      </c>
      <c r="T38" s="20">
        <f t="shared" si="47"/>
        <v>0.93078352212787452</v>
      </c>
      <c r="U38" s="20">
        <f t="shared" si="48"/>
        <v>1.0333720651594429</v>
      </c>
      <c r="V38" s="20">
        <f t="shared" si="48"/>
        <v>0.93692068865015599</v>
      </c>
      <c r="W38" s="20">
        <f t="shared" si="48"/>
        <v>1.0864450166472583</v>
      </c>
      <c r="X38" s="169"/>
    </row>
    <row r="39" spans="1:24" ht="36" customHeight="1" x14ac:dyDescent="0.25">
      <c r="A39" s="203"/>
      <c r="B39" s="204" t="s">
        <v>51</v>
      </c>
      <c r="C39" s="158" t="s">
        <v>1</v>
      </c>
      <c r="D39" s="23">
        <f>E39+F39+G39+H39</f>
        <v>0</v>
      </c>
      <c r="E39" s="56">
        <v>0</v>
      </c>
      <c r="F39" s="56">
        <v>0</v>
      </c>
      <c r="G39" s="56">
        <v>0</v>
      </c>
      <c r="H39" s="56">
        <v>0</v>
      </c>
      <c r="I39" s="113">
        <f>J39+K39+L39+M39</f>
        <v>0</v>
      </c>
      <c r="J39" s="56">
        <v>0</v>
      </c>
      <c r="K39" s="56">
        <v>0</v>
      </c>
      <c r="L39" s="56">
        <v>0</v>
      </c>
      <c r="M39" s="56">
        <v>0</v>
      </c>
      <c r="N39" s="113">
        <f>I39-D39</f>
        <v>0</v>
      </c>
      <c r="O39" s="120">
        <f t="shared" si="32"/>
        <v>0</v>
      </c>
      <c r="P39" s="120">
        <f t="shared" si="32"/>
        <v>0</v>
      </c>
      <c r="Q39" s="120">
        <f t="shared" si="32"/>
        <v>0</v>
      </c>
      <c r="R39" s="120">
        <f t="shared" si="32"/>
        <v>0</v>
      </c>
      <c r="S39" s="18">
        <v>0</v>
      </c>
      <c r="T39" s="20">
        <v>0</v>
      </c>
      <c r="U39" s="20">
        <v>0</v>
      </c>
      <c r="V39" s="20">
        <v>0</v>
      </c>
      <c r="W39" s="20">
        <v>0</v>
      </c>
      <c r="X39" s="6"/>
    </row>
    <row r="40" spans="1:24" ht="36" customHeight="1" x14ac:dyDescent="0.25">
      <c r="A40" s="203"/>
      <c r="B40" s="204"/>
      <c r="C40" s="158" t="s">
        <v>2</v>
      </c>
      <c r="D40" s="23">
        <f t="shared" ref="D40:D41" si="51">E40+F40+G40+H40</f>
        <v>12283.79</v>
      </c>
      <c r="E40" s="56">
        <v>2990.9659999999999</v>
      </c>
      <c r="F40" s="56">
        <v>3413.2020000000002</v>
      </c>
      <c r="G40" s="56">
        <v>2763.6979999999999</v>
      </c>
      <c r="H40" s="56">
        <v>3115.924</v>
      </c>
      <c r="I40" s="113">
        <f t="shared" ref="I40:I41" si="52">J40+K40+L40+M40</f>
        <v>12282.60483</v>
      </c>
      <c r="J40" s="56">
        <v>2438.4784300000001</v>
      </c>
      <c r="K40" s="56">
        <v>3457.9753999999998</v>
      </c>
      <c r="L40" s="56">
        <v>2696.5459999999998</v>
      </c>
      <c r="M40" s="56">
        <v>3689.605</v>
      </c>
      <c r="N40" s="113">
        <f>I40-D40</f>
        <v>-1.1851700000006531</v>
      </c>
      <c r="O40" s="120">
        <f t="shared" ref="O40:R42" si="53">J40-E40</f>
        <v>-552.48756999999978</v>
      </c>
      <c r="P40" s="120">
        <f t="shared" si="53"/>
        <v>44.773399999999583</v>
      </c>
      <c r="Q40" s="120">
        <f t="shared" si="53"/>
        <v>-67.152000000000044</v>
      </c>
      <c r="R40" s="120">
        <f t="shared" si="53"/>
        <v>573.68100000000004</v>
      </c>
      <c r="S40" s="170">
        <f>I40/D40</f>
        <v>0.99990351756257634</v>
      </c>
      <c r="T40" s="171">
        <f t="shared" ref="T40:W42" si="54">J40/E40</f>
        <v>0.81528122686784144</v>
      </c>
      <c r="U40" s="171">
        <f t="shared" si="54"/>
        <v>1.0131177117557062</v>
      </c>
      <c r="V40" s="171">
        <f t="shared" si="54"/>
        <v>0.9757021208540152</v>
      </c>
      <c r="W40" s="171">
        <f t="shared" si="54"/>
        <v>1.1841126420284962</v>
      </c>
      <c r="X40" s="119"/>
    </row>
    <row r="41" spans="1:24" ht="36" customHeight="1" x14ac:dyDescent="0.25">
      <c r="A41" s="203"/>
      <c r="B41" s="204"/>
      <c r="C41" s="158" t="s">
        <v>4</v>
      </c>
      <c r="D41" s="23">
        <f t="shared" si="51"/>
        <v>0</v>
      </c>
      <c r="E41" s="56">
        <v>0</v>
      </c>
      <c r="F41" s="56">
        <v>0</v>
      </c>
      <c r="G41" s="56">
        <v>0</v>
      </c>
      <c r="H41" s="56">
        <v>0</v>
      </c>
      <c r="I41" s="113">
        <f t="shared" si="52"/>
        <v>0</v>
      </c>
      <c r="J41" s="56">
        <v>0</v>
      </c>
      <c r="K41" s="56">
        <v>0</v>
      </c>
      <c r="L41" s="56">
        <v>0</v>
      </c>
      <c r="M41" s="56">
        <v>0</v>
      </c>
      <c r="N41" s="113">
        <f t="shared" ref="N41:N42" si="55">I41-D41</f>
        <v>0</v>
      </c>
      <c r="O41" s="120">
        <f t="shared" si="53"/>
        <v>0</v>
      </c>
      <c r="P41" s="120">
        <f t="shared" si="53"/>
        <v>0</v>
      </c>
      <c r="Q41" s="120">
        <f t="shared" si="53"/>
        <v>0</v>
      </c>
      <c r="R41" s="120">
        <f t="shared" si="53"/>
        <v>0</v>
      </c>
      <c r="S41" s="170">
        <v>0</v>
      </c>
      <c r="T41" s="171">
        <v>0</v>
      </c>
      <c r="U41" s="171">
        <v>0</v>
      </c>
      <c r="V41" s="171">
        <v>0</v>
      </c>
      <c r="W41" s="171">
        <v>0</v>
      </c>
      <c r="X41" s="172"/>
    </row>
    <row r="42" spans="1:24" ht="36" customHeight="1" x14ac:dyDescent="0.25">
      <c r="A42" s="203"/>
      <c r="B42" s="204"/>
      <c r="C42" s="158" t="s">
        <v>20</v>
      </c>
      <c r="D42" s="23">
        <f>D39+D40+D41</f>
        <v>12283.79</v>
      </c>
      <c r="E42" s="56">
        <f>E40</f>
        <v>2990.9659999999999</v>
      </c>
      <c r="F42" s="56">
        <f>F40</f>
        <v>3413.2020000000002</v>
      </c>
      <c r="G42" s="56">
        <f>G40</f>
        <v>2763.6979999999999</v>
      </c>
      <c r="H42" s="56">
        <f>H40</f>
        <v>3115.924</v>
      </c>
      <c r="I42" s="23">
        <f t="shared" ref="I42:K42" si="56">I39+I40+I41</f>
        <v>12282.60483</v>
      </c>
      <c r="J42" s="56">
        <f>J39+J40+J41</f>
        <v>2438.4784300000001</v>
      </c>
      <c r="K42" s="56">
        <f t="shared" si="56"/>
        <v>3457.9753999999998</v>
      </c>
      <c r="L42" s="56">
        <f>L39+L40+L41</f>
        <v>2696.5459999999998</v>
      </c>
      <c r="M42" s="56">
        <v>3689.605</v>
      </c>
      <c r="N42" s="113">
        <f t="shared" si="55"/>
        <v>-1.1851700000006531</v>
      </c>
      <c r="O42" s="120">
        <f t="shared" si="53"/>
        <v>-552.48756999999978</v>
      </c>
      <c r="P42" s="120">
        <f t="shared" si="53"/>
        <v>44.773399999999583</v>
      </c>
      <c r="Q42" s="120">
        <f t="shared" si="53"/>
        <v>-67.152000000000044</v>
      </c>
      <c r="R42" s="120">
        <f t="shared" si="53"/>
        <v>573.68100000000004</v>
      </c>
      <c r="S42" s="170">
        <f t="shared" ref="S42" si="57">I42/D42</f>
        <v>0.99990351756257634</v>
      </c>
      <c r="T42" s="171">
        <f t="shared" si="54"/>
        <v>0.81528122686784144</v>
      </c>
      <c r="U42" s="171">
        <f t="shared" si="54"/>
        <v>1.0131177117557062</v>
      </c>
      <c r="V42" s="171">
        <f t="shared" si="54"/>
        <v>0.9757021208540152</v>
      </c>
      <c r="W42" s="171">
        <f t="shared" si="54"/>
        <v>1.1841126420284962</v>
      </c>
      <c r="X42" s="6"/>
    </row>
    <row r="43" spans="1:24" ht="36" customHeight="1" x14ac:dyDescent="0.25">
      <c r="A43" s="197">
        <v>3</v>
      </c>
      <c r="B43" s="224" t="s">
        <v>28</v>
      </c>
      <c r="C43" s="158" t="s">
        <v>1</v>
      </c>
      <c r="D43" s="15">
        <f>E43+F43+G43+H43</f>
        <v>0</v>
      </c>
      <c r="E43" s="17">
        <f>E47+E51+E55</f>
        <v>0</v>
      </c>
      <c r="F43" s="17">
        <f t="shared" ref="E43:H46" si="58">F47+F51+F55</f>
        <v>0</v>
      </c>
      <c r="G43" s="17">
        <f t="shared" si="58"/>
        <v>0</v>
      </c>
      <c r="H43" s="17">
        <f t="shared" si="58"/>
        <v>0</v>
      </c>
      <c r="I43" s="15">
        <f t="shared" ref="I43:I49" si="59">J43+K43+L43+M43</f>
        <v>0</v>
      </c>
      <c r="J43" s="17">
        <f>J47+J51+J55</f>
        <v>0</v>
      </c>
      <c r="K43" s="17">
        <f>K47+K51+K55</f>
        <v>0</v>
      </c>
      <c r="L43" s="17">
        <f>L47+L51+L55</f>
        <v>0</v>
      </c>
      <c r="M43" s="17">
        <f>M47+M51+M55</f>
        <v>0</v>
      </c>
      <c r="N43" s="15">
        <f t="shared" ref="N43:R70" si="60">I43-D43</f>
        <v>0</v>
      </c>
      <c r="O43" s="17">
        <f t="shared" ref="O43:R69" si="61">J43-E43</f>
        <v>0</v>
      </c>
      <c r="P43" s="17">
        <f t="shared" ref="P43:R68" si="62">K43-F43</f>
        <v>0</v>
      </c>
      <c r="Q43" s="17">
        <f t="shared" ref="Q43:R67" si="63">L43-G43</f>
        <v>0</v>
      </c>
      <c r="R43" s="17">
        <f t="shared" ref="R43:R66" si="64">M43-H43</f>
        <v>0</v>
      </c>
      <c r="S43" s="18" t="s">
        <v>126</v>
      </c>
      <c r="T43" s="18" t="s">
        <v>126</v>
      </c>
      <c r="U43" s="18" t="s">
        <v>126</v>
      </c>
      <c r="V43" s="18" t="s">
        <v>126</v>
      </c>
      <c r="W43" s="18" t="s">
        <v>126</v>
      </c>
      <c r="X43" s="51"/>
    </row>
    <row r="44" spans="1:24" ht="36" customHeight="1" x14ac:dyDescent="0.25">
      <c r="A44" s="198"/>
      <c r="B44" s="224"/>
      <c r="C44" s="158" t="s">
        <v>2</v>
      </c>
      <c r="D44" s="15">
        <f>E44+F44+G44+H44</f>
        <v>87548.341870000004</v>
      </c>
      <c r="E44" s="17">
        <f t="shared" si="58"/>
        <v>11729.459930000001</v>
      </c>
      <c r="F44" s="17">
        <f t="shared" si="58"/>
        <v>24447.156999999999</v>
      </c>
      <c r="G44" s="17">
        <f t="shared" si="58"/>
        <v>22825.716</v>
      </c>
      <c r="H44" s="17">
        <f t="shared" si="58"/>
        <v>28546.00894</v>
      </c>
      <c r="I44" s="15">
        <f t="shared" si="59"/>
        <v>63279.899709999998</v>
      </c>
      <c r="J44" s="17">
        <f t="shared" ref="J44:M45" si="65">J48+J52+J56</f>
        <v>11217.826720000001</v>
      </c>
      <c r="K44" s="17">
        <f t="shared" si="65"/>
        <v>20307.942729999999</v>
      </c>
      <c r="L44" s="17">
        <f t="shared" si="65"/>
        <v>17172.542799999999</v>
      </c>
      <c r="M44" s="17">
        <f t="shared" si="65"/>
        <v>14581.587459999999</v>
      </c>
      <c r="N44" s="15">
        <f t="shared" si="60"/>
        <v>-24268.442160000006</v>
      </c>
      <c r="O44" s="17">
        <f t="shared" si="61"/>
        <v>-511.63320999999996</v>
      </c>
      <c r="P44" s="17">
        <f t="shared" si="62"/>
        <v>-4139.2142700000004</v>
      </c>
      <c r="Q44" s="17">
        <f t="shared" si="63"/>
        <v>-5653.1732000000011</v>
      </c>
      <c r="R44" s="17">
        <f t="shared" si="64"/>
        <v>-13964.421480000001</v>
      </c>
      <c r="S44" s="18">
        <f t="shared" ref="S44:W58" si="66">I44/D44</f>
        <v>0.72279952262218661</v>
      </c>
      <c r="T44" s="20">
        <f t="shared" si="66"/>
        <v>0.95638049722209162</v>
      </c>
      <c r="U44" s="20">
        <f t="shared" si="66"/>
        <v>0.83068729545934517</v>
      </c>
      <c r="V44" s="20">
        <f t="shared" si="66"/>
        <v>0.75233314915510208</v>
      </c>
      <c r="W44" s="20">
        <f t="shared" si="66"/>
        <v>0.51081002218729066</v>
      </c>
      <c r="X44" s="51"/>
    </row>
    <row r="45" spans="1:24" ht="36" customHeight="1" x14ac:dyDescent="0.25">
      <c r="A45" s="198"/>
      <c r="B45" s="224"/>
      <c r="C45" s="158" t="s">
        <v>4</v>
      </c>
      <c r="D45" s="15">
        <f>E45+F45+G45+H45</f>
        <v>15535.617550000001</v>
      </c>
      <c r="E45" s="17">
        <f t="shared" si="58"/>
        <v>2517.5483400000003</v>
      </c>
      <c r="F45" s="17">
        <f t="shared" si="58"/>
        <v>4166.5182000000004</v>
      </c>
      <c r="G45" s="17">
        <f t="shared" si="58"/>
        <v>4498.9521599999998</v>
      </c>
      <c r="H45" s="17">
        <f t="shared" si="58"/>
        <v>4352.5988500000003</v>
      </c>
      <c r="I45" s="15">
        <f t="shared" si="59"/>
        <v>14439.063679999999</v>
      </c>
      <c r="J45" s="17">
        <f t="shared" si="65"/>
        <v>3448.7422999999999</v>
      </c>
      <c r="K45" s="17">
        <f t="shared" si="65"/>
        <v>2689.4220799999998</v>
      </c>
      <c r="L45" s="17">
        <f t="shared" si="65"/>
        <v>2146.7341299999998</v>
      </c>
      <c r="M45" s="17">
        <f t="shared" si="65"/>
        <v>6154.1651699999993</v>
      </c>
      <c r="N45" s="15">
        <f t="shared" si="60"/>
        <v>-1096.5538700000016</v>
      </c>
      <c r="O45" s="17">
        <f t="shared" si="61"/>
        <v>931.19395999999961</v>
      </c>
      <c r="P45" s="17">
        <f t="shared" si="62"/>
        <v>-1477.0961200000006</v>
      </c>
      <c r="Q45" s="17">
        <f t="shared" si="63"/>
        <v>-2352.21803</v>
      </c>
      <c r="R45" s="17">
        <f t="shared" si="64"/>
        <v>1801.566319999999</v>
      </c>
      <c r="S45" s="18">
        <f t="shared" si="66"/>
        <v>0.92941678266275285</v>
      </c>
      <c r="T45" s="20">
        <f t="shared" si="66"/>
        <v>1.3698812631339581</v>
      </c>
      <c r="U45" s="20">
        <f>K45/F45</f>
        <v>0.64548429909654526</v>
      </c>
      <c r="V45" s="20">
        <f t="shared" si="66"/>
        <v>0.47716313791609644</v>
      </c>
      <c r="W45" s="20">
        <f t="shared" si="66"/>
        <v>1.413905894406051</v>
      </c>
      <c r="X45" s="51"/>
    </row>
    <row r="46" spans="1:24" ht="36" customHeight="1" x14ac:dyDescent="0.25">
      <c r="A46" s="198"/>
      <c r="B46" s="224"/>
      <c r="C46" s="158" t="s">
        <v>21</v>
      </c>
      <c r="D46" s="15">
        <f>E46+F46+G46+H46</f>
        <v>103083.95942</v>
      </c>
      <c r="E46" s="17">
        <f t="shared" si="58"/>
        <v>14247.00827</v>
      </c>
      <c r="F46" s="17">
        <f t="shared" si="58"/>
        <v>28613.675200000001</v>
      </c>
      <c r="G46" s="17">
        <f t="shared" si="58"/>
        <v>27324.668160000001</v>
      </c>
      <c r="H46" s="17">
        <f t="shared" si="58"/>
        <v>32898.607790000002</v>
      </c>
      <c r="I46" s="15">
        <f t="shared" si="59"/>
        <v>77718.963390000004</v>
      </c>
      <c r="J46" s="17">
        <f>J50+J54+J58</f>
        <v>14666.569020000001</v>
      </c>
      <c r="K46" s="17">
        <f>K50+K54+K58</f>
        <v>22997.364809999999</v>
      </c>
      <c r="L46" s="17">
        <f>L50+L54+L58</f>
        <v>19319.27693</v>
      </c>
      <c r="M46" s="17">
        <f>M50+M54+M58</f>
        <v>20735.752629999999</v>
      </c>
      <c r="N46" s="15">
        <f t="shared" si="60"/>
        <v>-25364.996029999995</v>
      </c>
      <c r="O46" s="17">
        <f>J46-E46</f>
        <v>419.56075000000055</v>
      </c>
      <c r="P46" s="17">
        <f t="shared" si="62"/>
        <v>-5616.3103900000024</v>
      </c>
      <c r="Q46" s="17">
        <f t="shared" si="63"/>
        <v>-8005.3912300000011</v>
      </c>
      <c r="R46" s="17">
        <f t="shared" si="64"/>
        <v>-12162.855160000003</v>
      </c>
      <c r="S46" s="18">
        <f>I46/D46</f>
        <v>0.75393847721104545</v>
      </c>
      <c r="T46" s="20">
        <f t="shared" si="66"/>
        <v>1.0294490423567362</v>
      </c>
      <c r="U46" s="20">
        <f t="shared" si="66"/>
        <v>0.80371936318058146</v>
      </c>
      <c r="V46" s="20">
        <f t="shared" si="66"/>
        <v>0.70702695516284719</v>
      </c>
      <c r="W46" s="20">
        <f t="shared" si="66"/>
        <v>0.63029270911284352</v>
      </c>
      <c r="X46" s="51"/>
    </row>
    <row r="47" spans="1:24" ht="36" customHeight="1" x14ac:dyDescent="0.25">
      <c r="A47" s="198"/>
      <c r="B47" s="224" t="s">
        <v>52</v>
      </c>
      <c r="C47" s="158" t="s">
        <v>1</v>
      </c>
      <c r="D47" s="15">
        <f t="shared" ref="D47:D49" si="67">E47+F47+G47+H47</f>
        <v>0</v>
      </c>
      <c r="E47" s="17">
        <v>0</v>
      </c>
      <c r="F47" s="17">
        <v>0</v>
      </c>
      <c r="G47" s="17">
        <v>0</v>
      </c>
      <c r="H47" s="17">
        <v>0</v>
      </c>
      <c r="I47" s="15">
        <f t="shared" si="59"/>
        <v>0</v>
      </c>
      <c r="J47" s="17">
        <v>0</v>
      </c>
      <c r="K47" s="19">
        <v>0</v>
      </c>
      <c r="L47" s="19">
        <v>0</v>
      </c>
      <c r="M47" s="19">
        <v>0</v>
      </c>
      <c r="N47" s="15">
        <f t="shared" si="60"/>
        <v>0</v>
      </c>
      <c r="O47" s="17">
        <f t="shared" si="61"/>
        <v>0</v>
      </c>
      <c r="P47" s="17">
        <f t="shared" si="62"/>
        <v>0</v>
      </c>
      <c r="Q47" s="17">
        <f t="shared" si="63"/>
        <v>0</v>
      </c>
      <c r="R47" s="17">
        <f t="shared" si="64"/>
        <v>0</v>
      </c>
      <c r="S47" s="18" t="s">
        <v>126</v>
      </c>
      <c r="T47" s="20" t="s">
        <v>126</v>
      </c>
      <c r="U47" s="20" t="s">
        <v>126</v>
      </c>
      <c r="V47" s="20" t="s">
        <v>126</v>
      </c>
      <c r="W47" s="20" t="s">
        <v>126</v>
      </c>
      <c r="X47" s="51"/>
    </row>
    <row r="48" spans="1:24" ht="37.5" customHeight="1" x14ac:dyDescent="0.25">
      <c r="A48" s="198"/>
      <c r="B48" s="224"/>
      <c r="C48" s="158" t="s">
        <v>2</v>
      </c>
      <c r="D48" s="15">
        <f t="shared" si="67"/>
        <v>87409.3</v>
      </c>
      <c r="E48" s="17">
        <f>0+11711.146</f>
        <v>11711.146000000001</v>
      </c>
      <c r="F48" s="17">
        <f>4600+19847.157</f>
        <v>24447.156999999999</v>
      </c>
      <c r="G48" s="17">
        <f>0+22806.186</f>
        <v>22806.186000000002</v>
      </c>
      <c r="H48" s="17">
        <f>0+28444.811</f>
        <v>28444.811000000002</v>
      </c>
      <c r="I48" s="63">
        <f t="shared" si="59"/>
        <v>63140.85787</v>
      </c>
      <c r="J48" s="65">
        <f>0+11211.78</f>
        <v>11211.78</v>
      </c>
      <c r="K48" s="65">
        <f>0+20299.978</f>
        <v>20299.977999999999</v>
      </c>
      <c r="L48" s="65">
        <f>0+17166.316</f>
        <v>17166.315999999999</v>
      </c>
      <c r="M48" s="65">
        <f>1451.26887+13011.515</f>
        <v>14462.783869999999</v>
      </c>
      <c r="N48" s="15">
        <f t="shared" si="60"/>
        <v>-24268.442130000003</v>
      </c>
      <c r="O48" s="17">
        <f t="shared" si="61"/>
        <v>-499.36599999999999</v>
      </c>
      <c r="P48" s="17">
        <f t="shared" si="62"/>
        <v>-4147.1790000000001</v>
      </c>
      <c r="Q48" s="17">
        <f t="shared" si="63"/>
        <v>-5639.8700000000026</v>
      </c>
      <c r="R48" s="17">
        <f t="shared" si="64"/>
        <v>-13982.027130000002</v>
      </c>
      <c r="S48" s="18">
        <f t="shared" si="66"/>
        <v>0.72235858049429524</v>
      </c>
      <c r="T48" s="20" t="s">
        <v>126</v>
      </c>
      <c r="U48" s="18">
        <f t="shared" si="66"/>
        <v>0.83036150174844459</v>
      </c>
      <c r="V48" s="20" t="s">
        <v>126</v>
      </c>
      <c r="W48" s="20" t="s">
        <v>126</v>
      </c>
      <c r="X48" s="51" t="s">
        <v>348</v>
      </c>
    </row>
    <row r="49" spans="1:24" ht="36" customHeight="1" x14ac:dyDescent="0.25">
      <c r="A49" s="198"/>
      <c r="B49" s="224"/>
      <c r="C49" s="158" t="s">
        <v>4</v>
      </c>
      <c r="D49" s="63">
        <f t="shared" si="67"/>
        <v>99.255410000000012</v>
      </c>
      <c r="E49" s="65">
        <v>51.13</v>
      </c>
      <c r="F49" s="65">
        <v>48.125410000000002</v>
      </c>
      <c r="G49" s="65">
        <v>0</v>
      </c>
      <c r="H49" s="65">
        <v>0</v>
      </c>
      <c r="I49" s="63">
        <f t="shared" si="59"/>
        <v>99.255409999999998</v>
      </c>
      <c r="J49" s="65">
        <v>0</v>
      </c>
      <c r="K49" s="66">
        <v>0</v>
      </c>
      <c r="L49" s="66">
        <v>0</v>
      </c>
      <c r="M49" s="66">
        <v>99.255409999999998</v>
      </c>
      <c r="N49" s="15">
        <f t="shared" si="60"/>
        <v>0</v>
      </c>
      <c r="O49" s="17">
        <f t="shared" si="61"/>
        <v>-51.13</v>
      </c>
      <c r="P49" s="65">
        <f t="shared" si="62"/>
        <v>-48.125410000000002</v>
      </c>
      <c r="Q49" s="65">
        <f t="shared" si="63"/>
        <v>0</v>
      </c>
      <c r="R49" s="65">
        <f t="shared" si="64"/>
        <v>99.255409999999998</v>
      </c>
      <c r="S49" s="18">
        <f t="shared" si="66"/>
        <v>0.99999999999999989</v>
      </c>
      <c r="T49" s="18" t="s">
        <v>126</v>
      </c>
      <c r="U49" s="18" t="s">
        <v>126</v>
      </c>
      <c r="V49" s="20" t="s">
        <v>126</v>
      </c>
      <c r="W49" s="20" t="s">
        <v>126</v>
      </c>
      <c r="X49" s="51"/>
    </row>
    <row r="50" spans="1:24" ht="36" customHeight="1" x14ac:dyDescent="0.25">
      <c r="A50" s="198"/>
      <c r="B50" s="224"/>
      <c r="C50" s="158" t="s">
        <v>20</v>
      </c>
      <c r="D50" s="63">
        <f>D47+D48+D49</f>
        <v>87508.555410000001</v>
      </c>
      <c r="E50" s="65">
        <f t="shared" ref="E50:M50" si="68">E47+E48+E49</f>
        <v>11762.276</v>
      </c>
      <c r="F50" s="65">
        <f t="shared" si="68"/>
        <v>24495.28241</v>
      </c>
      <c r="G50" s="65">
        <f t="shared" si="68"/>
        <v>22806.186000000002</v>
      </c>
      <c r="H50" s="65">
        <f t="shared" si="68"/>
        <v>28444.811000000002</v>
      </c>
      <c r="I50" s="63">
        <f t="shared" si="68"/>
        <v>63240.113279999998</v>
      </c>
      <c r="J50" s="65">
        <f t="shared" si="68"/>
        <v>11211.78</v>
      </c>
      <c r="K50" s="65">
        <f t="shared" si="68"/>
        <v>20299.977999999999</v>
      </c>
      <c r="L50" s="65">
        <f t="shared" si="68"/>
        <v>17166.315999999999</v>
      </c>
      <c r="M50" s="65">
        <f t="shared" si="68"/>
        <v>14562.039279999999</v>
      </c>
      <c r="N50" s="15">
        <f t="shared" si="60"/>
        <v>-24268.442130000003</v>
      </c>
      <c r="O50" s="17">
        <f t="shared" si="61"/>
        <v>-550.49599999999919</v>
      </c>
      <c r="P50" s="65">
        <f t="shared" si="62"/>
        <v>-4195.3044100000006</v>
      </c>
      <c r="Q50" s="65">
        <f t="shared" si="63"/>
        <v>-5639.8700000000026</v>
      </c>
      <c r="R50" s="65">
        <f t="shared" si="64"/>
        <v>-13882.771720000002</v>
      </c>
      <c r="S50" s="18">
        <f>I50/D50</f>
        <v>0.72267349156552596</v>
      </c>
      <c r="T50" s="20">
        <f t="shared" si="66"/>
        <v>0.95319817355076519</v>
      </c>
      <c r="U50" s="20">
        <f t="shared" si="66"/>
        <v>0.82873010648420609</v>
      </c>
      <c r="V50" s="20" t="s">
        <v>126</v>
      </c>
      <c r="W50" s="20" t="s">
        <v>126</v>
      </c>
      <c r="X50" s="51"/>
    </row>
    <row r="51" spans="1:24" ht="36" customHeight="1" x14ac:dyDescent="0.25">
      <c r="A51" s="198"/>
      <c r="B51" s="224" t="s">
        <v>53</v>
      </c>
      <c r="C51" s="158" t="s">
        <v>1</v>
      </c>
      <c r="D51" s="15">
        <f>E51+F51+G51+H51</f>
        <v>0</v>
      </c>
      <c r="E51" s="53">
        <v>0</v>
      </c>
      <c r="F51" s="17">
        <v>0</v>
      </c>
      <c r="G51" s="17">
        <v>0</v>
      </c>
      <c r="H51" s="17">
        <v>0</v>
      </c>
      <c r="I51" s="15">
        <f>J51+K51+L51+M51</f>
        <v>0</v>
      </c>
      <c r="J51" s="17">
        <v>0</v>
      </c>
      <c r="K51" s="19">
        <v>0</v>
      </c>
      <c r="L51" s="19">
        <v>0</v>
      </c>
      <c r="M51" s="19">
        <v>0</v>
      </c>
      <c r="N51" s="15">
        <f t="shared" si="60"/>
        <v>0</v>
      </c>
      <c r="O51" s="17">
        <f t="shared" si="61"/>
        <v>0</v>
      </c>
      <c r="P51" s="17">
        <f t="shared" si="62"/>
        <v>0</v>
      </c>
      <c r="Q51" s="17">
        <f t="shared" si="63"/>
        <v>0</v>
      </c>
      <c r="R51" s="17">
        <f t="shared" si="64"/>
        <v>0</v>
      </c>
      <c r="S51" s="18" t="s">
        <v>126</v>
      </c>
      <c r="T51" s="20" t="s">
        <v>126</v>
      </c>
      <c r="U51" s="20" t="s">
        <v>126</v>
      </c>
      <c r="V51" s="20" t="s">
        <v>126</v>
      </c>
      <c r="W51" s="20" t="s">
        <v>126</v>
      </c>
      <c r="X51" s="20"/>
    </row>
    <row r="52" spans="1:24" ht="36" customHeight="1" x14ac:dyDescent="0.25">
      <c r="A52" s="198"/>
      <c r="B52" s="224"/>
      <c r="C52" s="158" t="s">
        <v>2</v>
      </c>
      <c r="D52" s="63">
        <f>E52+F52+G52+H52</f>
        <v>139.04187000000002</v>
      </c>
      <c r="E52" s="64">
        <v>18.313929999999999</v>
      </c>
      <c r="F52" s="65">
        <v>0</v>
      </c>
      <c r="G52" s="65">
        <v>19.53</v>
      </c>
      <c r="H52" s="65">
        <v>101.19794</v>
      </c>
      <c r="I52" s="63">
        <f>J52+K52+L52+M52</f>
        <v>139.04184000000001</v>
      </c>
      <c r="J52" s="65">
        <v>6.0467199999999997</v>
      </c>
      <c r="K52" s="66">
        <v>7.9647300000000003</v>
      </c>
      <c r="L52" s="66">
        <v>6.2267999999999999</v>
      </c>
      <c r="M52" s="66">
        <v>118.80359</v>
      </c>
      <c r="N52" s="15">
        <f t="shared" si="60"/>
        <v>-3.000000000952241E-5</v>
      </c>
      <c r="O52" s="17">
        <f t="shared" si="61"/>
        <v>-12.267209999999999</v>
      </c>
      <c r="P52" s="17">
        <f t="shared" si="62"/>
        <v>7.9647300000000003</v>
      </c>
      <c r="Q52" s="17">
        <f t="shared" si="63"/>
        <v>-13.3032</v>
      </c>
      <c r="R52" s="17">
        <f t="shared" si="64"/>
        <v>17.605649999999997</v>
      </c>
      <c r="S52" s="18">
        <f t="shared" si="66"/>
        <v>0.99999978423765434</v>
      </c>
      <c r="T52" s="20">
        <f t="shared" si="66"/>
        <v>0.33017053139331642</v>
      </c>
      <c r="U52" s="20" t="e">
        <f t="shared" si="66"/>
        <v>#DIV/0!</v>
      </c>
      <c r="V52" s="20">
        <f t="shared" si="66"/>
        <v>0.31883256528417814</v>
      </c>
      <c r="W52" s="20">
        <f t="shared" si="66"/>
        <v>1.173972414853504</v>
      </c>
      <c r="X52" s="20"/>
    </row>
    <row r="53" spans="1:24" ht="36" customHeight="1" x14ac:dyDescent="0.25">
      <c r="A53" s="198"/>
      <c r="B53" s="224"/>
      <c r="C53" s="158" t="s">
        <v>4</v>
      </c>
      <c r="D53" s="70">
        <f>E53+F53+G53+H53</f>
        <v>15237.96009</v>
      </c>
      <c r="E53" s="64">
        <v>2466.4183400000002</v>
      </c>
      <c r="F53" s="64">
        <v>3919.9907400000002</v>
      </c>
      <c r="G53" s="64">
        <v>4498.9521599999998</v>
      </c>
      <c r="H53" s="64">
        <v>4352.5988500000003</v>
      </c>
      <c r="I53" s="63">
        <f>J53+K53+L53+M53</f>
        <v>14141.406219999999</v>
      </c>
      <c r="J53" s="65">
        <v>3448.7422999999999</v>
      </c>
      <c r="K53" s="66">
        <v>2689.4220799999998</v>
      </c>
      <c r="L53" s="66">
        <v>2146.7341299999998</v>
      </c>
      <c r="M53" s="66">
        <v>5856.5077099999999</v>
      </c>
      <c r="N53" s="15">
        <f t="shared" si="60"/>
        <v>-1096.5538700000016</v>
      </c>
      <c r="O53" s="17">
        <f t="shared" si="61"/>
        <v>982.32395999999972</v>
      </c>
      <c r="P53" s="17">
        <f t="shared" si="62"/>
        <v>-1230.5686600000004</v>
      </c>
      <c r="Q53" s="17">
        <f t="shared" si="63"/>
        <v>-2352.21803</v>
      </c>
      <c r="R53" s="17">
        <f t="shared" si="64"/>
        <v>1503.9088599999995</v>
      </c>
      <c r="S53" s="18">
        <f t="shared" si="66"/>
        <v>0.92803801404365005</v>
      </c>
      <c r="T53" s="20">
        <f t="shared" si="66"/>
        <v>1.3982795392285314</v>
      </c>
      <c r="U53" s="20">
        <f t="shared" si="66"/>
        <v>0.6860786819103557</v>
      </c>
      <c r="V53" s="20">
        <f t="shared" si="66"/>
        <v>0.47716313791609644</v>
      </c>
      <c r="W53" s="20">
        <f t="shared" si="66"/>
        <v>1.3455197485061137</v>
      </c>
      <c r="X53" s="20"/>
    </row>
    <row r="54" spans="1:24" ht="36" customHeight="1" x14ac:dyDescent="0.25">
      <c r="A54" s="198"/>
      <c r="B54" s="224"/>
      <c r="C54" s="158" t="s">
        <v>20</v>
      </c>
      <c r="D54" s="63">
        <f>D51+D52+D53</f>
        <v>15377.001960000001</v>
      </c>
      <c r="E54" s="65">
        <f t="shared" ref="E54:M54" si="69">E51+E52+E53</f>
        <v>2484.73227</v>
      </c>
      <c r="F54" s="65">
        <f t="shared" si="69"/>
        <v>3919.9907400000002</v>
      </c>
      <c r="G54" s="65">
        <f t="shared" si="69"/>
        <v>4518.4821599999996</v>
      </c>
      <c r="H54" s="65">
        <f t="shared" si="69"/>
        <v>4453.7967900000003</v>
      </c>
      <c r="I54" s="63">
        <f t="shared" si="69"/>
        <v>14280.448059999999</v>
      </c>
      <c r="J54" s="65">
        <f t="shared" si="69"/>
        <v>3454.7890199999997</v>
      </c>
      <c r="K54" s="65">
        <f t="shared" si="69"/>
        <v>2697.38681</v>
      </c>
      <c r="L54" s="65">
        <f t="shared" si="69"/>
        <v>2152.9609299999997</v>
      </c>
      <c r="M54" s="65">
        <f t="shared" si="69"/>
        <v>5975.3113000000003</v>
      </c>
      <c r="N54" s="15">
        <f t="shared" si="60"/>
        <v>-1096.5539000000026</v>
      </c>
      <c r="O54" s="17">
        <f t="shared" si="61"/>
        <v>970.05674999999974</v>
      </c>
      <c r="P54" s="17">
        <f t="shared" si="62"/>
        <v>-1222.6039300000002</v>
      </c>
      <c r="Q54" s="17">
        <f t="shared" si="63"/>
        <v>-2365.5212299999998</v>
      </c>
      <c r="R54" s="17">
        <f t="shared" si="64"/>
        <v>1521.51451</v>
      </c>
      <c r="S54" s="18">
        <f t="shared" si="66"/>
        <v>0.92868870649477353</v>
      </c>
      <c r="T54" s="20">
        <f t="shared" si="66"/>
        <v>1.3904069511682238</v>
      </c>
      <c r="U54" s="20">
        <f t="shared" si="66"/>
        <v>0.68811050558757181</v>
      </c>
      <c r="V54" s="20">
        <f t="shared" si="66"/>
        <v>0.47647879393198711</v>
      </c>
      <c r="W54" s="20">
        <f t="shared" si="66"/>
        <v>1.3416218973924043</v>
      </c>
      <c r="X54" s="20"/>
    </row>
    <row r="55" spans="1:24" ht="36" customHeight="1" x14ac:dyDescent="0.25">
      <c r="A55" s="198"/>
      <c r="B55" s="219" t="s">
        <v>29</v>
      </c>
      <c r="C55" s="158" t="s">
        <v>1</v>
      </c>
      <c r="D55" s="15">
        <f>E55+F55+G55+H55</f>
        <v>0</v>
      </c>
      <c r="E55" s="53">
        <v>0</v>
      </c>
      <c r="F55" s="17">
        <v>0</v>
      </c>
      <c r="G55" s="17">
        <v>0</v>
      </c>
      <c r="H55" s="17">
        <v>0</v>
      </c>
      <c r="I55" s="15">
        <f>J55+K55+L55+M55</f>
        <v>0</v>
      </c>
      <c r="J55" s="17">
        <v>0</v>
      </c>
      <c r="K55" s="19">
        <v>0</v>
      </c>
      <c r="L55" s="19">
        <v>0</v>
      </c>
      <c r="M55" s="19">
        <v>0</v>
      </c>
      <c r="N55" s="15">
        <f t="shared" si="60"/>
        <v>0</v>
      </c>
      <c r="O55" s="17">
        <f t="shared" si="61"/>
        <v>0</v>
      </c>
      <c r="P55" s="17">
        <f t="shared" si="62"/>
        <v>0</v>
      </c>
      <c r="Q55" s="17">
        <f t="shared" si="63"/>
        <v>0</v>
      </c>
      <c r="R55" s="17">
        <f t="shared" si="64"/>
        <v>0</v>
      </c>
      <c r="S55" s="18" t="s">
        <v>126</v>
      </c>
      <c r="T55" s="20" t="s">
        <v>126</v>
      </c>
      <c r="U55" s="20" t="s">
        <v>126</v>
      </c>
      <c r="V55" s="20" t="s">
        <v>126</v>
      </c>
      <c r="W55" s="20" t="s">
        <v>126</v>
      </c>
      <c r="X55" s="20"/>
    </row>
    <row r="56" spans="1:24" ht="36" customHeight="1" x14ac:dyDescent="0.25">
      <c r="A56" s="198"/>
      <c r="B56" s="219"/>
      <c r="C56" s="158" t="s">
        <v>2</v>
      </c>
      <c r="D56" s="15">
        <f>E56+F56+G56+H56</f>
        <v>0</v>
      </c>
      <c r="E56" s="53">
        <v>0</v>
      </c>
      <c r="F56" s="17">
        <v>0</v>
      </c>
      <c r="G56" s="17">
        <v>0</v>
      </c>
      <c r="H56" s="17">
        <v>0</v>
      </c>
      <c r="I56" s="15">
        <f>J56+K56+L56+M56</f>
        <v>0</v>
      </c>
      <c r="J56" s="17">
        <v>0</v>
      </c>
      <c r="K56" s="19">
        <v>0</v>
      </c>
      <c r="L56" s="19">
        <v>0</v>
      </c>
      <c r="M56" s="19">
        <v>0</v>
      </c>
      <c r="N56" s="15">
        <f t="shared" si="60"/>
        <v>0</v>
      </c>
      <c r="O56" s="17">
        <f t="shared" si="61"/>
        <v>0</v>
      </c>
      <c r="P56" s="17">
        <f t="shared" si="62"/>
        <v>0</v>
      </c>
      <c r="Q56" s="17">
        <f t="shared" si="63"/>
        <v>0</v>
      </c>
      <c r="R56" s="17">
        <f t="shared" si="64"/>
        <v>0</v>
      </c>
      <c r="S56" s="18" t="s">
        <v>126</v>
      </c>
      <c r="T56" s="20" t="s">
        <v>126</v>
      </c>
      <c r="U56" s="20" t="s">
        <v>126</v>
      </c>
      <c r="V56" s="20" t="s">
        <v>126</v>
      </c>
      <c r="W56" s="20" t="s">
        <v>126</v>
      </c>
      <c r="X56" s="20"/>
    </row>
    <row r="57" spans="1:24" ht="36" customHeight="1" x14ac:dyDescent="0.25">
      <c r="A57" s="198"/>
      <c r="B57" s="219"/>
      <c r="C57" s="158" t="s">
        <v>4</v>
      </c>
      <c r="D57" s="63">
        <f>E57+F57+G57+H57</f>
        <v>198.40205</v>
      </c>
      <c r="E57" s="53">
        <v>0</v>
      </c>
      <c r="F57" s="65">
        <v>198.40205</v>
      </c>
      <c r="G57" s="17">
        <v>0</v>
      </c>
      <c r="H57" s="17">
        <v>0</v>
      </c>
      <c r="I57" s="63">
        <f>J57+K57+L57+M57</f>
        <v>198.40205</v>
      </c>
      <c r="J57" s="17">
        <v>0</v>
      </c>
      <c r="K57" s="19">
        <v>0</v>
      </c>
      <c r="L57" s="19">
        <v>0</v>
      </c>
      <c r="M57" s="66">
        <v>198.40205</v>
      </c>
      <c r="N57" s="15">
        <f t="shared" si="60"/>
        <v>0</v>
      </c>
      <c r="O57" s="17">
        <f t="shared" si="61"/>
        <v>0</v>
      </c>
      <c r="P57" s="17">
        <f t="shared" si="62"/>
        <v>-198.40205</v>
      </c>
      <c r="Q57" s="17">
        <f t="shared" si="63"/>
        <v>0</v>
      </c>
      <c r="R57" s="17">
        <f t="shared" si="64"/>
        <v>198.40205</v>
      </c>
      <c r="S57" s="18">
        <f t="shared" si="66"/>
        <v>1</v>
      </c>
      <c r="T57" s="20" t="s">
        <v>126</v>
      </c>
      <c r="U57" s="20">
        <f t="shared" ref="U57" si="70">K57/F57</f>
        <v>0</v>
      </c>
      <c r="V57" s="20" t="s">
        <v>126</v>
      </c>
      <c r="W57" s="20" t="s">
        <v>126</v>
      </c>
      <c r="X57" s="20"/>
    </row>
    <row r="58" spans="1:24" ht="36" customHeight="1" x14ac:dyDescent="0.25">
      <c r="A58" s="199"/>
      <c r="B58" s="219"/>
      <c r="C58" s="158" t="s">
        <v>20</v>
      </c>
      <c r="D58" s="63">
        <f>D55+D56+D57</f>
        <v>198.40205</v>
      </c>
      <c r="E58" s="17">
        <f t="shared" ref="E58:M58" si="71">E55+E56+E57</f>
        <v>0</v>
      </c>
      <c r="F58" s="65">
        <f t="shared" si="71"/>
        <v>198.40205</v>
      </c>
      <c r="G58" s="17">
        <f t="shared" si="71"/>
        <v>0</v>
      </c>
      <c r="H58" s="17">
        <f t="shared" si="71"/>
        <v>0</v>
      </c>
      <c r="I58" s="63">
        <f t="shared" si="71"/>
        <v>198.40205</v>
      </c>
      <c r="J58" s="17">
        <f t="shared" si="71"/>
        <v>0</v>
      </c>
      <c r="K58" s="17">
        <f t="shared" si="71"/>
        <v>0</v>
      </c>
      <c r="L58" s="17">
        <f t="shared" si="71"/>
        <v>0</v>
      </c>
      <c r="M58" s="65">
        <f t="shared" si="71"/>
        <v>198.40205</v>
      </c>
      <c r="N58" s="15">
        <f t="shared" si="60"/>
        <v>0</v>
      </c>
      <c r="O58" s="17">
        <f t="shared" si="61"/>
        <v>0</v>
      </c>
      <c r="P58" s="17">
        <f t="shared" si="62"/>
        <v>-198.40205</v>
      </c>
      <c r="Q58" s="17">
        <f t="shared" si="63"/>
        <v>0</v>
      </c>
      <c r="R58" s="17">
        <f t="shared" si="64"/>
        <v>198.40205</v>
      </c>
      <c r="S58" s="18">
        <f t="shared" si="66"/>
        <v>1</v>
      </c>
      <c r="T58" s="20" t="s">
        <v>126</v>
      </c>
      <c r="U58" s="20">
        <f t="shared" si="66"/>
        <v>0</v>
      </c>
      <c r="V58" s="20" t="s">
        <v>126</v>
      </c>
      <c r="W58" s="20" t="s">
        <v>126</v>
      </c>
      <c r="X58" s="20"/>
    </row>
    <row r="59" spans="1:24" ht="36" customHeight="1" x14ac:dyDescent="0.25">
      <c r="A59" s="203">
        <v>4</v>
      </c>
      <c r="B59" s="204" t="s">
        <v>30</v>
      </c>
      <c r="C59" s="158" t="s">
        <v>1</v>
      </c>
      <c r="D59" s="15">
        <f>E59+F59+G59+H59</f>
        <v>0</v>
      </c>
      <c r="E59" s="16">
        <f>E63</f>
        <v>0</v>
      </c>
      <c r="F59" s="16">
        <f>F63</f>
        <v>0</v>
      </c>
      <c r="G59" s="16">
        <f>G63</f>
        <v>0</v>
      </c>
      <c r="H59" s="16">
        <f>H63</f>
        <v>0</v>
      </c>
      <c r="I59" s="15">
        <f>J59+K59+L59+M59</f>
        <v>0</v>
      </c>
      <c r="J59" s="16">
        <f>J63</f>
        <v>0</v>
      </c>
      <c r="K59" s="16">
        <f>K63</f>
        <v>0</v>
      </c>
      <c r="L59" s="16">
        <f>L63</f>
        <v>0</v>
      </c>
      <c r="M59" s="16">
        <f>M63</f>
        <v>0</v>
      </c>
      <c r="N59" s="15">
        <f t="shared" si="60"/>
        <v>0</v>
      </c>
      <c r="O59" s="17">
        <f t="shared" si="61"/>
        <v>0</v>
      </c>
      <c r="P59" s="17">
        <f t="shared" si="62"/>
        <v>0</v>
      </c>
      <c r="Q59" s="17">
        <f t="shared" si="63"/>
        <v>0</v>
      </c>
      <c r="R59" s="17">
        <f t="shared" si="64"/>
        <v>0</v>
      </c>
      <c r="S59" s="18" t="s">
        <v>126</v>
      </c>
      <c r="T59" s="18" t="s">
        <v>126</v>
      </c>
      <c r="U59" s="18" t="s">
        <v>126</v>
      </c>
      <c r="V59" s="18" t="s">
        <v>126</v>
      </c>
      <c r="W59" s="18" t="s">
        <v>126</v>
      </c>
      <c r="X59" s="158"/>
    </row>
    <row r="60" spans="1:24" ht="36" customHeight="1" x14ac:dyDescent="0.25">
      <c r="A60" s="203"/>
      <c r="B60" s="204"/>
      <c r="C60" s="158" t="s">
        <v>2</v>
      </c>
      <c r="D60" s="15">
        <f t="shared" ref="D60:D64" si="72">E60+F60+G60+H60</f>
        <v>0</v>
      </c>
      <c r="E60" s="16">
        <f t="shared" ref="E60:H62" si="73">E64</f>
        <v>0</v>
      </c>
      <c r="F60" s="16">
        <f t="shared" si="73"/>
        <v>0</v>
      </c>
      <c r="G60" s="16">
        <f t="shared" si="73"/>
        <v>0</v>
      </c>
      <c r="H60" s="16">
        <f t="shared" si="73"/>
        <v>0</v>
      </c>
      <c r="I60" s="15">
        <f t="shared" ref="I60:I66" si="74">J60+K60+L60+M60</f>
        <v>0</v>
      </c>
      <c r="J60" s="16">
        <f t="shared" ref="J60:M62" si="75">J64</f>
        <v>0</v>
      </c>
      <c r="K60" s="16">
        <f t="shared" si="75"/>
        <v>0</v>
      </c>
      <c r="L60" s="16">
        <f t="shared" si="75"/>
        <v>0</v>
      </c>
      <c r="M60" s="16">
        <f t="shared" si="75"/>
        <v>0</v>
      </c>
      <c r="N60" s="15">
        <f t="shared" si="60"/>
        <v>0</v>
      </c>
      <c r="O60" s="17">
        <f t="shared" si="61"/>
        <v>0</v>
      </c>
      <c r="P60" s="17">
        <f t="shared" si="62"/>
        <v>0</v>
      </c>
      <c r="Q60" s="17">
        <f t="shared" si="63"/>
        <v>0</v>
      </c>
      <c r="R60" s="17">
        <f t="shared" si="64"/>
        <v>0</v>
      </c>
      <c r="S60" s="18" t="s">
        <v>126</v>
      </c>
      <c r="T60" s="18" t="s">
        <v>126</v>
      </c>
      <c r="U60" s="18" t="s">
        <v>126</v>
      </c>
      <c r="V60" s="18" t="s">
        <v>126</v>
      </c>
      <c r="W60" s="18" t="s">
        <v>126</v>
      </c>
      <c r="X60" s="158"/>
    </row>
    <row r="61" spans="1:24" ht="36" customHeight="1" x14ac:dyDescent="0.25">
      <c r="A61" s="203"/>
      <c r="B61" s="204"/>
      <c r="C61" s="158" t="s">
        <v>4</v>
      </c>
      <c r="D61" s="15">
        <v>0</v>
      </c>
      <c r="E61" s="16">
        <v>0</v>
      </c>
      <c r="F61" s="16">
        <v>0</v>
      </c>
      <c r="G61" s="16">
        <f t="shared" si="73"/>
        <v>0</v>
      </c>
      <c r="H61" s="16">
        <v>0</v>
      </c>
      <c r="I61" s="15">
        <f t="shared" si="74"/>
        <v>0</v>
      </c>
      <c r="J61" s="16">
        <v>0</v>
      </c>
      <c r="K61" s="16">
        <v>0</v>
      </c>
      <c r="L61" s="16">
        <f t="shared" si="75"/>
        <v>0</v>
      </c>
      <c r="M61" s="16">
        <v>0</v>
      </c>
      <c r="N61" s="15">
        <f t="shared" si="60"/>
        <v>0</v>
      </c>
      <c r="O61" s="17">
        <v>0</v>
      </c>
      <c r="P61" s="17">
        <v>0</v>
      </c>
      <c r="Q61" s="17">
        <f t="shared" si="63"/>
        <v>0</v>
      </c>
      <c r="R61" s="17">
        <f t="shared" si="64"/>
        <v>0</v>
      </c>
      <c r="S61" s="18" t="s">
        <v>126</v>
      </c>
      <c r="T61" s="18" t="s">
        <v>126</v>
      </c>
      <c r="U61" s="18" t="s">
        <v>126</v>
      </c>
      <c r="V61" s="18" t="s">
        <v>126</v>
      </c>
      <c r="W61" s="18" t="s">
        <v>126</v>
      </c>
      <c r="X61" s="158"/>
    </row>
    <row r="62" spans="1:24" ht="36" customHeight="1" x14ac:dyDescent="0.25">
      <c r="A62" s="203"/>
      <c r="B62" s="204"/>
      <c r="C62" s="158" t="s">
        <v>21</v>
      </c>
      <c r="D62" s="15">
        <f t="shared" si="72"/>
        <v>0</v>
      </c>
      <c r="E62" s="16">
        <f t="shared" si="73"/>
        <v>0</v>
      </c>
      <c r="F62" s="16">
        <f t="shared" si="73"/>
        <v>0</v>
      </c>
      <c r="G62" s="16">
        <f t="shared" si="73"/>
        <v>0</v>
      </c>
      <c r="H62" s="16">
        <f t="shared" si="73"/>
        <v>0</v>
      </c>
      <c r="I62" s="15">
        <f t="shared" si="74"/>
        <v>0</v>
      </c>
      <c r="J62" s="16">
        <v>0</v>
      </c>
      <c r="K62" s="16">
        <v>0</v>
      </c>
      <c r="L62" s="16">
        <f t="shared" si="75"/>
        <v>0</v>
      </c>
      <c r="M62" s="16">
        <v>0</v>
      </c>
      <c r="N62" s="15">
        <f t="shared" si="60"/>
        <v>0</v>
      </c>
      <c r="O62" s="17">
        <f t="shared" si="61"/>
        <v>0</v>
      </c>
      <c r="P62" s="17">
        <f t="shared" si="62"/>
        <v>0</v>
      </c>
      <c r="Q62" s="17">
        <f t="shared" si="63"/>
        <v>0</v>
      </c>
      <c r="R62" s="17">
        <f t="shared" si="64"/>
        <v>0</v>
      </c>
      <c r="S62" s="18" t="s">
        <v>126</v>
      </c>
      <c r="T62" s="18" t="s">
        <v>126</v>
      </c>
      <c r="U62" s="18" t="s">
        <v>126</v>
      </c>
      <c r="V62" s="18" t="s">
        <v>126</v>
      </c>
      <c r="W62" s="18" t="s">
        <v>126</v>
      </c>
      <c r="X62" s="158"/>
    </row>
    <row r="63" spans="1:24" ht="36" customHeight="1" x14ac:dyDescent="0.25">
      <c r="A63" s="203"/>
      <c r="B63" s="204" t="s">
        <v>54</v>
      </c>
      <c r="C63" s="158" t="s">
        <v>1</v>
      </c>
      <c r="D63" s="15">
        <f>E63+F63+G63+H63</f>
        <v>0</v>
      </c>
      <c r="E63" s="57">
        <v>0</v>
      </c>
      <c r="F63" s="57">
        <v>0</v>
      </c>
      <c r="G63" s="57">
        <v>0</v>
      </c>
      <c r="H63" s="57">
        <v>0</v>
      </c>
      <c r="I63" s="15">
        <f>J63+K63+L63+M63</f>
        <v>0</v>
      </c>
      <c r="J63" s="57">
        <v>0</v>
      </c>
      <c r="K63" s="57">
        <v>0</v>
      </c>
      <c r="L63" s="57">
        <v>0</v>
      </c>
      <c r="M63" s="57">
        <v>0</v>
      </c>
      <c r="N63" s="15">
        <f t="shared" si="60"/>
        <v>0</v>
      </c>
      <c r="O63" s="17">
        <f t="shared" si="61"/>
        <v>0</v>
      </c>
      <c r="P63" s="17">
        <f t="shared" si="62"/>
        <v>0</v>
      </c>
      <c r="Q63" s="17">
        <f t="shared" si="63"/>
        <v>0</v>
      </c>
      <c r="R63" s="17">
        <f t="shared" si="64"/>
        <v>0</v>
      </c>
      <c r="S63" s="18" t="s">
        <v>126</v>
      </c>
      <c r="T63" s="18" t="s">
        <v>126</v>
      </c>
      <c r="U63" s="20" t="s">
        <v>126</v>
      </c>
      <c r="V63" s="20" t="s">
        <v>126</v>
      </c>
      <c r="W63" s="20" t="s">
        <v>126</v>
      </c>
      <c r="X63" s="158"/>
    </row>
    <row r="64" spans="1:24" ht="36" customHeight="1" x14ac:dyDescent="0.25">
      <c r="A64" s="203"/>
      <c r="B64" s="204"/>
      <c r="C64" s="158" t="s">
        <v>2</v>
      </c>
      <c r="D64" s="15">
        <f t="shared" si="72"/>
        <v>0</v>
      </c>
      <c r="E64" s="57">
        <v>0</v>
      </c>
      <c r="F64" s="57">
        <v>0</v>
      </c>
      <c r="G64" s="57">
        <v>0</v>
      </c>
      <c r="H64" s="57">
        <v>0</v>
      </c>
      <c r="I64" s="15">
        <f t="shared" si="74"/>
        <v>0</v>
      </c>
      <c r="J64" s="57">
        <v>0</v>
      </c>
      <c r="K64" s="57">
        <v>0</v>
      </c>
      <c r="L64" s="57">
        <v>0</v>
      </c>
      <c r="M64" s="57">
        <v>0</v>
      </c>
      <c r="N64" s="15">
        <f t="shared" si="60"/>
        <v>0</v>
      </c>
      <c r="O64" s="17">
        <f t="shared" si="61"/>
        <v>0</v>
      </c>
      <c r="P64" s="17">
        <f t="shared" si="62"/>
        <v>0</v>
      </c>
      <c r="Q64" s="17">
        <f t="shared" si="63"/>
        <v>0</v>
      </c>
      <c r="R64" s="17">
        <f t="shared" si="64"/>
        <v>0</v>
      </c>
      <c r="S64" s="18" t="s">
        <v>126</v>
      </c>
      <c r="T64" s="18" t="s">
        <v>126</v>
      </c>
      <c r="U64" s="20" t="s">
        <v>126</v>
      </c>
      <c r="V64" s="20" t="s">
        <v>126</v>
      </c>
      <c r="W64" s="20" t="s">
        <v>126</v>
      </c>
      <c r="X64" s="158"/>
    </row>
    <row r="65" spans="1:24" ht="36" customHeight="1" x14ac:dyDescent="0.25">
      <c r="A65" s="203"/>
      <c r="B65" s="204"/>
      <c r="C65" s="158" t="s">
        <v>4</v>
      </c>
      <c r="D65" s="15">
        <v>0</v>
      </c>
      <c r="E65" s="16">
        <v>0</v>
      </c>
      <c r="F65" s="16">
        <v>0</v>
      </c>
      <c r="G65" s="17">
        <v>0</v>
      </c>
      <c r="H65" s="16">
        <v>0</v>
      </c>
      <c r="I65" s="15">
        <f t="shared" si="74"/>
        <v>0</v>
      </c>
      <c r="J65" s="16">
        <v>0</v>
      </c>
      <c r="K65" s="16">
        <v>0</v>
      </c>
      <c r="L65" s="17">
        <v>0</v>
      </c>
      <c r="M65" s="16">
        <v>0</v>
      </c>
      <c r="N65" s="15">
        <f t="shared" si="60"/>
        <v>0</v>
      </c>
      <c r="O65" s="17">
        <f t="shared" si="61"/>
        <v>0</v>
      </c>
      <c r="P65" s="17">
        <f t="shared" si="62"/>
        <v>0</v>
      </c>
      <c r="Q65" s="17">
        <f t="shared" si="63"/>
        <v>0</v>
      </c>
      <c r="R65" s="17">
        <f t="shared" si="64"/>
        <v>0</v>
      </c>
      <c r="S65" s="18" t="s">
        <v>126</v>
      </c>
      <c r="T65" s="18" t="s">
        <v>126</v>
      </c>
      <c r="U65" s="20" t="s">
        <v>126</v>
      </c>
      <c r="V65" s="20" t="s">
        <v>126</v>
      </c>
      <c r="W65" s="20" t="s">
        <v>126</v>
      </c>
      <c r="X65" s="158"/>
    </row>
    <row r="66" spans="1:24" ht="36" customHeight="1" x14ac:dyDescent="0.25">
      <c r="A66" s="203"/>
      <c r="B66" s="204"/>
      <c r="C66" s="158" t="s">
        <v>20</v>
      </c>
      <c r="D66" s="15">
        <v>0</v>
      </c>
      <c r="E66" s="17">
        <v>0</v>
      </c>
      <c r="F66" s="17">
        <f t="shared" ref="F66:G66" si="76">F63+F64+F65</f>
        <v>0</v>
      </c>
      <c r="G66" s="17">
        <f t="shared" si="76"/>
        <v>0</v>
      </c>
      <c r="H66" s="17">
        <f>H63+H64+H65</f>
        <v>0</v>
      </c>
      <c r="I66" s="15">
        <f t="shared" si="74"/>
        <v>0</v>
      </c>
      <c r="J66" s="17">
        <v>0</v>
      </c>
      <c r="K66" s="17">
        <v>0</v>
      </c>
      <c r="L66" s="17">
        <f>L63+L64+L65</f>
        <v>0</v>
      </c>
      <c r="M66" s="17">
        <v>0</v>
      </c>
      <c r="N66" s="15">
        <f t="shared" si="60"/>
        <v>0</v>
      </c>
      <c r="O66" s="17">
        <f t="shared" si="61"/>
        <v>0</v>
      </c>
      <c r="P66" s="17">
        <f t="shared" si="62"/>
        <v>0</v>
      </c>
      <c r="Q66" s="17">
        <f t="shared" si="63"/>
        <v>0</v>
      </c>
      <c r="R66" s="17">
        <f t="shared" si="64"/>
        <v>0</v>
      </c>
      <c r="S66" s="18" t="s">
        <v>126</v>
      </c>
      <c r="T66" s="18" t="s">
        <v>126</v>
      </c>
      <c r="U66" s="20" t="s">
        <v>126</v>
      </c>
      <c r="V66" s="20" t="s">
        <v>126</v>
      </c>
      <c r="W66" s="20" t="s">
        <v>126</v>
      </c>
      <c r="X66" s="158"/>
    </row>
    <row r="67" spans="1:24" ht="36" customHeight="1" x14ac:dyDescent="0.25">
      <c r="A67" s="197">
        <v>5</v>
      </c>
      <c r="B67" s="204" t="s">
        <v>31</v>
      </c>
      <c r="C67" s="158" t="s">
        <v>1</v>
      </c>
      <c r="D67" s="25">
        <f>D71+D75+D79+D83+D87</f>
        <v>2021.2</v>
      </c>
      <c r="E67" s="25">
        <f>E71+E75+E79+E83+E87</f>
        <v>0</v>
      </c>
      <c r="F67" s="25">
        <f t="shared" ref="F67:H67" si="77">F71+F75+F79+F83+F87</f>
        <v>0</v>
      </c>
      <c r="G67" s="25">
        <f t="shared" si="77"/>
        <v>0</v>
      </c>
      <c r="H67" s="25">
        <f t="shared" si="77"/>
        <v>0</v>
      </c>
      <c r="I67" s="24">
        <f>SUM(J67:M67)</f>
        <v>2021.2</v>
      </c>
      <c r="J67" s="25">
        <f>J71+J75+J79+J83+J87</f>
        <v>0</v>
      </c>
      <c r="K67" s="25">
        <f t="shared" ref="K67:M67" si="78">K71+K75+K79+K83+K87</f>
        <v>0</v>
      </c>
      <c r="L67" s="25">
        <f>L71+L75+L79+L83+L87</f>
        <v>2013.8</v>
      </c>
      <c r="M67" s="25">
        <f t="shared" si="78"/>
        <v>7.4</v>
      </c>
      <c r="N67" s="15">
        <f t="shared" si="60"/>
        <v>0</v>
      </c>
      <c r="O67" s="17">
        <f t="shared" si="61"/>
        <v>0</v>
      </c>
      <c r="P67" s="17">
        <f t="shared" si="62"/>
        <v>0</v>
      </c>
      <c r="Q67" s="17">
        <f t="shared" si="63"/>
        <v>2013.8</v>
      </c>
      <c r="R67" s="17">
        <f t="shared" si="63"/>
        <v>7.4</v>
      </c>
      <c r="S67" s="18" t="s">
        <v>126</v>
      </c>
      <c r="T67" s="18" t="s">
        <v>126</v>
      </c>
      <c r="U67" s="18" t="s">
        <v>126</v>
      </c>
      <c r="V67" s="18" t="s">
        <v>126</v>
      </c>
      <c r="W67" s="18" t="s">
        <v>126</v>
      </c>
      <c r="X67" s="20"/>
    </row>
    <row r="68" spans="1:24" ht="36" customHeight="1" x14ac:dyDescent="0.25">
      <c r="A68" s="198"/>
      <c r="B68" s="204"/>
      <c r="C68" s="158" t="s">
        <v>2</v>
      </c>
      <c r="D68" s="25">
        <f t="shared" ref="D68:D70" si="79">D72+D76+D80+D84+D88</f>
        <v>22310.420999999998</v>
      </c>
      <c r="E68" s="25">
        <f t="shared" ref="E68:H70" si="80">E72+E76+E80+E84+E88</f>
        <v>0</v>
      </c>
      <c r="F68" s="25">
        <f t="shared" si="80"/>
        <v>0</v>
      </c>
      <c r="G68" s="25">
        <f t="shared" si="80"/>
        <v>0</v>
      </c>
      <c r="H68" s="25">
        <f t="shared" si="80"/>
        <v>0</v>
      </c>
      <c r="I68" s="24">
        <f>SUM(J68:M68)</f>
        <v>22308.741000000002</v>
      </c>
      <c r="J68" s="25">
        <f t="shared" ref="J68:M70" si="81">J72+J76+J80+J84+J88</f>
        <v>4447.9800000000005</v>
      </c>
      <c r="K68" s="25">
        <f t="shared" si="81"/>
        <v>2529.6389999999997</v>
      </c>
      <c r="L68" s="25">
        <f t="shared" si="81"/>
        <v>5946.2139999999999</v>
      </c>
      <c r="M68" s="25">
        <f t="shared" si="81"/>
        <v>9384.9079999999994</v>
      </c>
      <c r="N68" s="15">
        <f t="shared" si="60"/>
        <v>-1.6799999999966531</v>
      </c>
      <c r="O68" s="17">
        <f t="shared" si="61"/>
        <v>4447.9800000000005</v>
      </c>
      <c r="P68" s="17">
        <f t="shared" si="62"/>
        <v>2529.6389999999997</v>
      </c>
      <c r="Q68" s="17">
        <f t="shared" si="62"/>
        <v>5946.2139999999999</v>
      </c>
      <c r="R68" s="17">
        <f t="shared" si="62"/>
        <v>9384.9079999999994</v>
      </c>
      <c r="S68" s="18" t="s">
        <v>126</v>
      </c>
      <c r="T68" s="18" t="s">
        <v>126</v>
      </c>
      <c r="U68" s="18" t="s">
        <v>126</v>
      </c>
      <c r="V68" s="18" t="s">
        <v>126</v>
      </c>
      <c r="W68" s="18" t="s">
        <v>126</v>
      </c>
      <c r="X68" s="20"/>
    </row>
    <row r="69" spans="1:24" ht="36" customHeight="1" x14ac:dyDescent="0.25">
      <c r="A69" s="198"/>
      <c r="B69" s="204"/>
      <c r="C69" s="158" t="s">
        <v>4</v>
      </c>
      <c r="D69" s="25">
        <f t="shared" si="79"/>
        <v>42978.911000000007</v>
      </c>
      <c r="E69" s="25">
        <f t="shared" si="80"/>
        <v>0</v>
      </c>
      <c r="F69" s="25">
        <f t="shared" si="80"/>
        <v>0</v>
      </c>
      <c r="G69" s="25">
        <f t="shared" si="80"/>
        <v>0</v>
      </c>
      <c r="H69" s="25">
        <f t="shared" si="80"/>
        <v>0</v>
      </c>
      <c r="I69" s="24">
        <f>SUM(J69:M69)</f>
        <v>41043.942999999999</v>
      </c>
      <c r="J69" s="25">
        <f t="shared" si="81"/>
        <v>6447.6049999999996</v>
      </c>
      <c r="K69" s="25">
        <f t="shared" si="81"/>
        <v>15569.806</v>
      </c>
      <c r="L69" s="25">
        <f>L73+L77+L81+L85+L89+L97</f>
        <v>7563.152000000001</v>
      </c>
      <c r="M69" s="25">
        <f>M73+M77+M81+M85+M89+M97</f>
        <v>11463.38</v>
      </c>
      <c r="N69" s="15">
        <f t="shared" si="60"/>
        <v>-1934.968000000008</v>
      </c>
      <c r="O69" s="17">
        <f t="shared" si="61"/>
        <v>6447.6049999999996</v>
      </c>
      <c r="P69" s="17">
        <f t="shared" si="61"/>
        <v>15569.806</v>
      </c>
      <c r="Q69" s="17">
        <f t="shared" si="61"/>
        <v>7563.152000000001</v>
      </c>
      <c r="R69" s="17">
        <f t="shared" si="61"/>
        <v>11463.38</v>
      </c>
      <c r="S69" s="18" t="s">
        <v>126</v>
      </c>
      <c r="T69" s="18" t="s">
        <v>126</v>
      </c>
      <c r="U69" s="18" t="s">
        <v>126</v>
      </c>
      <c r="V69" s="18" t="s">
        <v>126</v>
      </c>
      <c r="W69" s="18" t="s">
        <v>126</v>
      </c>
      <c r="X69" s="20"/>
    </row>
    <row r="70" spans="1:24" ht="36" customHeight="1" x14ac:dyDescent="0.25">
      <c r="A70" s="198"/>
      <c r="B70" s="204"/>
      <c r="C70" s="158" t="s">
        <v>21</v>
      </c>
      <c r="D70" s="25">
        <f t="shared" si="79"/>
        <v>67310.532000000007</v>
      </c>
      <c r="E70" s="25">
        <f t="shared" si="80"/>
        <v>0</v>
      </c>
      <c r="F70" s="25">
        <f t="shared" si="80"/>
        <v>0</v>
      </c>
      <c r="G70" s="25">
        <f t="shared" si="80"/>
        <v>0</v>
      </c>
      <c r="H70" s="25">
        <f t="shared" si="80"/>
        <v>0</v>
      </c>
      <c r="I70" s="24">
        <f>I67+I68+I69</f>
        <v>65373.884000000005</v>
      </c>
      <c r="J70" s="25">
        <f>J74+J78+J82+J86+J90</f>
        <v>10895.584999999999</v>
      </c>
      <c r="K70" s="25">
        <f t="shared" si="81"/>
        <v>18099.445</v>
      </c>
      <c r="L70" s="25">
        <f>L74+L78+L82+L86+L90+L98</f>
        <v>15523.165999999999</v>
      </c>
      <c r="M70" s="25">
        <f>M74+M78+M82+M86+M90+M98</f>
        <v>20855.688000000002</v>
      </c>
      <c r="N70" s="15">
        <f t="shared" si="60"/>
        <v>-1936.648000000001</v>
      </c>
      <c r="O70" s="17">
        <f t="shared" si="60"/>
        <v>10895.584999999999</v>
      </c>
      <c r="P70" s="17">
        <f t="shared" si="60"/>
        <v>18099.445</v>
      </c>
      <c r="Q70" s="17">
        <f t="shared" si="60"/>
        <v>15523.165999999999</v>
      </c>
      <c r="R70" s="17">
        <f t="shared" si="60"/>
        <v>20855.688000000002</v>
      </c>
      <c r="S70" s="18" t="s">
        <v>126</v>
      </c>
      <c r="T70" s="18" t="s">
        <v>126</v>
      </c>
      <c r="U70" s="18" t="s">
        <v>126</v>
      </c>
      <c r="V70" s="18" t="s">
        <v>126</v>
      </c>
      <c r="W70" s="18" t="s">
        <v>126</v>
      </c>
      <c r="X70" s="20"/>
    </row>
    <row r="71" spans="1:24" ht="36" customHeight="1" x14ac:dyDescent="0.25">
      <c r="A71" s="198"/>
      <c r="B71" s="204" t="s">
        <v>55</v>
      </c>
      <c r="C71" s="158" t="s">
        <v>1</v>
      </c>
      <c r="D71" s="24">
        <f>SUM(E71:H71)</f>
        <v>0</v>
      </c>
      <c r="E71" s="49">
        <v>0</v>
      </c>
      <c r="F71" s="49">
        <v>0</v>
      </c>
      <c r="G71" s="49">
        <v>0</v>
      </c>
      <c r="H71" s="49">
        <v>0</v>
      </c>
      <c r="I71" s="24">
        <f>SUM(J71:M71)</f>
        <v>0</v>
      </c>
      <c r="J71" s="49">
        <v>0</v>
      </c>
      <c r="K71" s="49">
        <v>0</v>
      </c>
      <c r="L71" s="49">
        <v>0</v>
      </c>
      <c r="M71" s="49">
        <v>0</v>
      </c>
      <c r="N71" s="15">
        <f t="shared" ref="N71:R90" si="82">I71-D71</f>
        <v>0</v>
      </c>
      <c r="O71" s="17">
        <f t="shared" si="82"/>
        <v>0</v>
      </c>
      <c r="P71" s="17">
        <f t="shared" si="82"/>
        <v>0</v>
      </c>
      <c r="Q71" s="17">
        <f t="shared" si="82"/>
        <v>0</v>
      </c>
      <c r="R71" s="17">
        <f t="shared" si="82"/>
        <v>0</v>
      </c>
      <c r="S71" s="18" t="s">
        <v>126</v>
      </c>
      <c r="T71" s="18" t="s">
        <v>126</v>
      </c>
      <c r="U71" s="18" t="s">
        <v>126</v>
      </c>
      <c r="V71" s="18" t="s">
        <v>126</v>
      </c>
      <c r="W71" s="18" t="s">
        <v>126</v>
      </c>
      <c r="X71" s="20"/>
    </row>
    <row r="72" spans="1:24" ht="36" customHeight="1" x14ac:dyDescent="0.25">
      <c r="A72" s="198"/>
      <c r="B72" s="204"/>
      <c r="C72" s="158" t="s">
        <v>2</v>
      </c>
      <c r="D72" s="24">
        <v>187.18</v>
      </c>
      <c r="E72" s="49">
        <v>0</v>
      </c>
      <c r="F72" s="49">
        <v>0</v>
      </c>
      <c r="G72" s="49">
        <v>0</v>
      </c>
      <c r="H72" s="49">
        <v>0</v>
      </c>
      <c r="I72" s="24">
        <v>185.5</v>
      </c>
      <c r="J72" s="49">
        <v>20.797000000000001</v>
      </c>
      <c r="K72" s="49">
        <v>26.614999999999998</v>
      </c>
      <c r="L72" s="49">
        <v>20.951000000000001</v>
      </c>
      <c r="M72" s="49">
        <v>117.137</v>
      </c>
      <c r="N72" s="15">
        <f t="shared" si="82"/>
        <v>-1.6800000000000068</v>
      </c>
      <c r="O72" s="17">
        <f t="shared" si="82"/>
        <v>20.797000000000001</v>
      </c>
      <c r="P72" s="17">
        <f t="shared" si="82"/>
        <v>26.614999999999998</v>
      </c>
      <c r="Q72" s="17">
        <f t="shared" si="82"/>
        <v>20.951000000000001</v>
      </c>
      <c r="R72" s="17">
        <f t="shared" si="82"/>
        <v>117.137</v>
      </c>
      <c r="S72" s="18">
        <f>I72/D72</f>
        <v>0.99102468212415851</v>
      </c>
      <c r="T72" s="18" t="s">
        <v>126</v>
      </c>
      <c r="U72" s="18" t="s">
        <v>126</v>
      </c>
      <c r="V72" s="18" t="s">
        <v>126</v>
      </c>
      <c r="W72" s="18" t="s">
        <v>126</v>
      </c>
      <c r="X72" s="20"/>
    </row>
    <row r="73" spans="1:24" ht="36" customHeight="1" x14ac:dyDescent="0.25">
      <c r="A73" s="198"/>
      <c r="B73" s="204"/>
      <c r="C73" s="158" t="s">
        <v>4</v>
      </c>
      <c r="D73" s="24">
        <f>SUM(E73:H73)</f>
        <v>0</v>
      </c>
      <c r="E73" s="49">
        <v>0</v>
      </c>
      <c r="F73" s="49">
        <v>0</v>
      </c>
      <c r="G73" s="49">
        <v>0</v>
      </c>
      <c r="H73" s="49">
        <v>0</v>
      </c>
      <c r="I73" s="24">
        <f>SUM(J73:M73)</f>
        <v>0</v>
      </c>
      <c r="J73" s="49">
        <v>0</v>
      </c>
      <c r="K73" s="49">
        <v>0</v>
      </c>
      <c r="L73" s="49">
        <v>0</v>
      </c>
      <c r="M73" s="49">
        <v>0</v>
      </c>
      <c r="N73" s="15">
        <f t="shared" si="82"/>
        <v>0</v>
      </c>
      <c r="O73" s="17">
        <f t="shared" si="82"/>
        <v>0</v>
      </c>
      <c r="P73" s="17">
        <f t="shared" si="82"/>
        <v>0</v>
      </c>
      <c r="Q73" s="17">
        <f t="shared" si="82"/>
        <v>0</v>
      </c>
      <c r="R73" s="17">
        <f t="shared" si="82"/>
        <v>0</v>
      </c>
      <c r="S73" s="18" t="s">
        <v>126</v>
      </c>
      <c r="T73" s="18" t="s">
        <v>126</v>
      </c>
      <c r="U73" s="18" t="s">
        <v>126</v>
      </c>
      <c r="V73" s="18" t="s">
        <v>126</v>
      </c>
      <c r="W73" s="18" t="s">
        <v>126</v>
      </c>
      <c r="X73" s="20"/>
    </row>
    <row r="74" spans="1:24" ht="36" customHeight="1" x14ac:dyDescent="0.25">
      <c r="A74" s="198"/>
      <c r="B74" s="204"/>
      <c r="C74" s="158" t="s">
        <v>20</v>
      </c>
      <c r="D74" s="24">
        <f>D71+D72+D73</f>
        <v>187.18</v>
      </c>
      <c r="E74" s="25">
        <f t="shared" ref="E74:M74" si="83">E71+E72+E73</f>
        <v>0</v>
      </c>
      <c r="F74" s="25">
        <f t="shared" si="83"/>
        <v>0</v>
      </c>
      <c r="G74" s="25">
        <f t="shared" si="83"/>
        <v>0</v>
      </c>
      <c r="H74" s="25">
        <f t="shared" si="83"/>
        <v>0</v>
      </c>
      <c r="I74" s="24">
        <f t="shared" si="83"/>
        <v>185.5</v>
      </c>
      <c r="J74" s="25">
        <f t="shared" si="83"/>
        <v>20.797000000000001</v>
      </c>
      <c r="K74" s="25">
        <f t="shared" si="83"/>
        <v>26.614999999999998</v>
      </c>
      <c r="L74" s="25">
        <f t="shared" si="83"/>
        <v>20.951000000000001</v>
      </c>
      <c r="M74" s="25">
        <f t="shared" si="83"/>
        <v>117.137</v>
      </c>
      <c r="N74" s="15">
        <f t="shared" si="82"/>
        <v>-1.6800000000000068</v>
      </c>
      <c r="O74" s="17">
        <f t="shared" si="82"/>
        <v>20.797000000000001</v>
      </c>
      <c r="P74" s="17">
        <f t="shared" si="82"/>
        <v>26.614999999999998</v>
      </c>
      <c r="Q74" s="17">
        <f t="shared" si="82"/>
        <v>20.951000000000001</v>
      </c>
      <c r="R74" s="17">
        <f t="shared" si="82"/>
        <v>117.137</v>
      </c>
      <c r="S74" s="18">
        <f t="shared" ref="S74:S90" si="84">I74/D74</f>
        <v>0.99102468212415851</v>
      </c>
      <c r="T74" s="18" t="s">
        <v>126</v>
      </c>
      <c r="U74" s="18" t="s">
        <v>126</v>
      </c>
      <c r="V74" s="18" t="s">
        <v>126</v>
      </c>
      <c r="W74" s="18" t="s">
        <v>126</v>
      </c>
      <c r="X74" s="20"/>
    </row>
    <row r="75" spans="1:24" ht="36" customHeight="1" x14ac:dyDescent="0.25">
      <c r="A75" s="198"/>
      <c r="B75" s="204" t="s">
        <v>56</v>
      </c>
      <c r="C75" s="158" t="s">
        <v>1</v>
      </c>
      <c r="D75" s="24">
        <v>2013.8</v>
      </c>
      <c r="E75" s="49">
        <v>0</v>
      </c>
      <c r="F75" s="49">
        <v>0</v>
      </c>
      <c r="G75" s="49">
        <v>0</v>
      </c>
      <c r="H75" s="49">
        <v>0</v>
      </c>
      <c r="I75" s="24">
        <v>2013.8</v>
      </c>
      <c r="J75" s="49">
        <v>0</v>
      </c>
      <c r="K75" s="26">
        <v>0</v>
      </c>
      <c r="L75" s="49">
        <v>2013.8</v>
      </c>
      <c r="M75" s="26">
        <v>0</v>
      </c>
      <c r="N75" s="15">
        <f t="shared" si="82"/>
        <v>0</v>
      </c>
      <c r="O75" s="17">
        <f t="shared" si="82"/>
        <v>0</v>
      </c>
      <c r="P75" s="17">
        <f t="shared" si="82"/>
        <v>0</v>
      </c>
      <c r="Q75" s="17">
        <f t="shared" si="82"/>
        <v>2013.8</v>
      </c>
      <c r="R75" s="17">
        <f t="shared" si="82"/>
        <v>0</v>
      </c>
      <c r="S75" s="18" t="s">
        <v>126</v>
      </c>
      <c r="T75" s="18" t="s">
        <v>126</v>
      </c>
      <c r="U75" s="18" t="s">
        <v>126</v>
      </c>
      <c r="V75" s="18" t="s">
        <v>126</v>
      </c>
      <c r="W75" s="18" t="s">
        <v>126</v>
      </c>
      <c r="X75" s="20"/>
    </row>
    <row r="76" spans="1:24" ht="36" customHeight="1" x14ac:dyDescent="0.25">
      <c r="A76" s="198"/>
      <c r="B76" s="204"/>
      <c r="C76" s="158" t="s">
        <v>2</v>
      </c>
      <c r="D76" s="24">
        <v>11337.1</v>
      </c>
      <c r="E76" s="49">
        <v>0</v>
      </c>
      <c r="F76" s="49">
        <v>0</v>
      </c>
      <c r="G76" s="49">
        <v>0</v>
      </c>
      <c r="H76" s="49">
        <v>0</v>
      </c>
      <c r="I76" s="24">
        <v>11337.1</v>
      </c>
      <c r="J76" s="49">
        <v>2133.8180000000002</v>
      </c>
      <c r="K76" s="26">
        <v>1467.308</v>
      </c>
      <c r="L76" s="26">
        <v>2319.6970000000001</v>
      </c>
      <c r="M76" s="26">
        <v>5416.277</v>
      </c>
      <c r="N76" s="15">
        <f t="shared" si="82"/>
        <v>0</v>
      </c>
      <c r="O76" s="17">
        <f t="shared" si="82"/>
        <v>2133.8180000000002</v>
      </c>
      <c r="P76" s="17">
        <f t="shared" si="82"/>
        <v>1467.308</v>
      </c>
      <c r="Q76" s="17">
        <f t="shared" si="82"/>
        <v>2319.6970000000001</v>
      </c>
      <c r="R76" s="17">
        <f t="shared" si="82"/>
        <v>5416.277</v>
      </c>
      <c r="S76" s="18">
        <f t="shared" si="84"/>
        <v>1</v>
      </c>
      <c r="T76" s="18" t="s">
        <v>126</v>
      </c>
      <c r="U76" s="18" t="s">
        <v>126</v>
      </c>
      <c r="V76" s="18" t="s">
        <v>126</v>
      </c>
      <c r="W76" s="18" t="s">
        <v>126</v>
      </c>
      <c r="X76" s="20"/>
    </row>
    <row r="77" spans="1:24" ht="36" customHeight="1" x14ac:dyDescent="0.25">
      <c r="A77" s="198"/>
      <c r="B77" s="204"/>
      <c r="C77" s="158" t="s">
        <v>4</v>
      </c>
      <c r="D77" s="24">
        <v>14928.957</v>
      </c>
      <c r="E77" s="49">
        <v>0</v>
      </c>
      <c r="F77" s="49">
        <v>0</v>
      </c>
      <c r="G77" s="49">
        <v>0</v>
      </c>
      <c r="H77" s="49">
        <v>0</v>
      </c>
      <c r="I77" s="24">
        <v>14176.873</v>
      </c>
      <c r="J77" s="49">
        <v>2273.6729999999998</v>
      </c>
      <c r="K77" s="26">
        <v>5304.2269999999999</v>
      </c>
      <c r="L77" s="26">
        <v>3238.056</v>
      </c>
      <c r="M77" s="26">
        <v>3360.9169999999999</v>
      </c>
      <c r="N77" s="15">
        <f t="shared" si="82"/>
        <v>-752.08400000000074</v>
      </c>
      <c r="O77" s="17">
        <f t="shared" si="82"/>
        <v>2273.6729999999998</v>
      </c>
      <c r="P77" s="17">
        <f t="shared" si="82"/>
        <v>5304.2269999999999</v>
      </c>
      <c r="Q77" s="17">
        <f t="shared" si="82"/>
        <v>3238.056</v>
      </c>
      <c r="R77" s="17">
        <f t="shared" si="82"/>
        <v>3360.9169999999999</v>
      </c>
      <c r="S77" s="18">
        <f t="shared" si="84"/>
        <v>0.94962246860246158</v>
      </c>
      <c r="T77" s="18" t="s">
        <v>126</v>
      </c>
      <c r="U77" s="18" t="s">
        <v>126</v>
      </c>
      <c r="V77" s="18" t="s">
        <v>126</v>
      </c>
      <c r="W77" s="18" t="s">
        <v>126</v>
      </c>
      <c r="X77" s="20"/>
    </row>
    <row r="78" spans="1:24" ht="36" customHeight="1" x14ac:dyDescent="0.25">
      <c r="A78" s="198"/>
      <c r="B78" s="204"/>
      <c r="C78" s="158" t="s">
        <v>20</v>
      </c>
      <c r="D78" s="24">
        <f>D75+D76+D77</f>
        <v>28279.857</v>
      </c>
      <c r="E78" s="25">
        <f t="shared" ref="E78:M78" si="85">E75+E76+E77</f>
        <v>0</v>
      </c>
      <c r="F78" s="25">
        <f t="shared" si="85"/>
        <v>0</v>
      </c>
      <c r="G78" s="25">
        <f t="shared" si="85"/>
        <v>0</v>
      </c>
      <c r="H78" s="25">
        <f t="shared" si="85"/>
        <v>0</v>
      </c>
      <c r="I78" s="24">
        <f t="shared" si="85"/>
        <v>27527.773000000001</v>
      </c>
      <c r="J78" s="25">
        <f t="shared" si="85"/>
        <v>4407.491</v>
      </c>
      <c r="K78" s="25">
        <f t="shared" si="85"/>
        <v>6771.5349999999999</v>
      </c>
      <c r="L78" s="25">
        <f t="shared" si="85"/>
        <v>7571.5529999999999</v>
      </c>
      <c r="M78" s="25">
        <f t="shared" si="85"/>
        <v>8777.1939999999995</v>
      </c>
      <c r="N78" s="15">
        <f t="shared" si="82"/>
        <v>-752.08399999999892</v>
      </c>
      <c r="O78" s="17">
        <f t="shared" si="82"/>
        <v>4407.491</v>
      </c>
      <c r="P78" s="17">
        <f t="shared" si="82"/>
        <v>6771.5349999999999</v>
      </c>
      <c r="Q78" s="17">
        <f t="shared" si="82"/>
        <v>7571.5529999999999</v>
      </c>
      <c r="R78" s="17">
        <f t="shared" si="82"/>
        <v>8777.1939999999995</v>
      </c>
      <c r="S78" s="18">
        <f t="shared" si="84"/>
        <v>0.97340566467503709</v>
      </c>
      <c r="T78" s="18" t="s">
        <v>126</v>
      </c>
      <c r="U78" s="18" t="s">
        <v>126</v>
      </c>
      <c r="V78" s="18" t="s">
        <v>126</v>
      </c>
      <c r="W78" s="18" t="s">
        <v>126</v>
      </c>
      <c r="X78" s="20"/>
    </row>
    <row r="79" spans="1:24" ht="36" customHeight="1" x14ac:dyDescent="0.25">
      <c r="A79" s="198"/>
      <c r="B79" s="204" t="s">
        <v>57</v>
      </c>
      <c r="C79" s="158" t="s">
        <v>1</v>
      </c>
      <c r="D79" s="24">
        <f>SUM(E79:H79)</f>
        <v>0</v>
      </c>
      <c r="E79" s="49">
        <v>0</v>
      </c>
      <c r="F79" s="49">
        <v>0</v>
      </c>
      <c r="G79" s="49">
        <v>0</v>
      </c>
      <c r="H79" s="49">
        <v>0</v>
      </c>
      <c r="I79" s="24">
        <f>SUM(J79:M79)</f>
        <v>0</v>
      </c>
      <c r="J79" s="49">
        <v>0</v>
      </c>
      <c r="K79" s="26">
        <v>0</v>
      </c>
      <c r="L79" s="26">
        <v>0</v>
      </c>
      <c r="M79" s="26">
        <v>0</v>
      </c>
      <c r="N79" s="15">
        <f t="shared" si="82"/>
        <v>0</v>
      </c>
      <c r="O79" s="17">
        <f t="shared" si="82"/>
        <v>0</v>
      </c>
      <c r="P79" s="17">
        <f t="shared" si="82"/>
        <v>0</v>
      </c>
      <c r="Q79" s="17">
        <f t="shared" si="82"/>
        <v>0</v>
      </c>
      <c r="R79" s="17">
        <f t="shared" si="82"/>
        <v>0</v>
      </c>
      <c r="S79" s="18" t="s">
        <v>126</v>
      </c>
      <c r="T79" s="18" t="s">
        <v>126</v>
      </c>
      <c r="U79" s="18" t="s">
        <v>126</v>
      </c>
      <c r="V79" s="18" t="s">
        <v>126</v>
      </c>
      <c r="W79" s="18" t="s">
        <v>126</v>
      </c>
      <c r="X79" s="20"/>
    </row>
    <row r="80" spans="1:24" ht="36" customHeight="1" x14ac:dyDescent="0.25">
      <c r="A80" s="198"/>
      <c r="B80" s="204"/>
      <c r="C80" s="158" t="s">
        <v>2</v>
      </c>
      <c r="D80" s="24">
        <v>1431.3</v>
      </c>
      <c r="E80" s="49">
        <v>0</v>
      </c>
      <c r="F80" s="49">
        <v>0</v>
      </c>
      <c r="G80" s="49">
        <v>0</v>
      </c>
      <c r="H80" s="49">
        <v>0</v>
      </c>
      <c r="I80" s="24">
        <f>SUM(J80:M80)</f>
        <v>1431.3</v>
      </c>
      <c r="J80" s="49">
        <v>207.23500000000001</v>
      </c>
      <c r="K80" s="26">
        <v>231.321</v>
      </c>
      <c r="L80" s="41">
        <v>504.93299999999999</v>
      </c>
      <c r="M80" s="41">
        <v>487.81099999999998</v>
      </c>
      <c r="N80" s="15">
        <f t="shared" si="82"/>
        <v>0</v>
      </c>
      <c r="O80" s="17">
        <f t="shared" si="82"/>
        <v>207.23500000000001</v>
      </c>
      <c r="P80" s="17">
        <f t="shared" si="82"/>
        <v>231.321</v>
      </c>
      <c r="Q80" s="17">
        <f t="shared" si="82"/>
        <v>504.93299999999999</v>
      </c>
      <c r="R80" s="17">
        <f t="shared" si="82"/>
        <v>487.81099999999998</v>
      </c>
      <c r="S80" s="18">
        <f t="shared" si="84"/>
        <v>1</v>
      </c>
      <c r="T80" s="18" t="s">
        <v>126</v>
      </c>
      <c r="U80" s="18" t="s">
        <v>126</v>
      </c>
      <c r="V80" s="18" t="s">
        <v>126</v>
      </c>
      <c r="W80" s="18" t="s">
        <v>126</v>
      </c>
      <c r="X80" s="20"/>
    </row>
    <row r="81" spans="1:24" ht="36" customHeight="1" x14ac:dyDescent="0.25">
      <c r="A81" s="198"/>
      <c r="B81" s="204"/>
      <c r="C81" s="158" t="s">
        <v>4</v>
      </c>
      <c r="D81" s="24">
        <v>1933.154</v>
      </c>
      <c r="E81" s="49">
        <v>0</v>
      </c>
      <c r="F81" s="49">
        <v>0</v>
      </c>
      <c r="G81" s="49">
        <v>0</v>
      </c>
      <c r="H81" s="49">
        <v>0</v>
      </c>
      <c r="I81" s="24">
        <f>SUM(J81:M81)</f>
        <v>1716.723</v>
      </c>
      <c r="J81" s="49">
        <v>251.173</v>
      </c>
      <c r="K81" s="26">
        <v>609.91600000000005</v>
      </c>
      <c r="L81" s="41">
        <v>479.66800000000001</v>
      </c>
      <c r="M81" s="41">
        <v>375.96600000000001</v>
      </c>
      <c r="N81" s="15">
        <f t="shared" si="82"/>
        <v>-216.43100000000004</v>
      </c>
      <c r="O81" s="17">
        <f t="shared" si="82"/>
        <v>251.173</v>
      </c>
      <c r="P81" s="17">
        <f t="shared" si="82"/>
        <v>609.91600000000005</v>
      </c>
      <c r="Q81" s="17">
        <f t="shared" si="82"/>
        <v>479.66800000000001</v>
      </c>
      <c r="R81" s="17">
        <f t="shared" si="82"/>
        <v>375.96600000000001</v>
      </c>
      <c r="S81" s="18">
        <f t="shared" si="84"/>
        <v>0.88804254601547516</v>
      </c>
      <c r="T81" s="18" t="s">
        <v>126</v>
      </c>
      <c r="U81" s="18" t="s">
        <v>126</v>
      </c>
      <c r="V81" s="18" t="s">
        <v>126</v>
      </c>
      <c r="W81" s="18" t="s">
        <v>126</v>
      </c>
      <c r="X81" s="20"/>
    </row>
    <row r="82" spans="1:24" ht="36" customHeight="1" x14ac:dyDescent="0.25">
      <c r="A82" s="198"/>
      <c r="B82" s="204"/>
      <c r="C82" s="158" t="s">
        <v>20</v>
      </c>
      <c r="D82" s="24">
        <f>D79+D80+D81</f>
        <v>3364.4539999999997</v>
      </c>
      <c r="E82" s="25">
        <v>0</v>
      </c>
      <c r="F82" s="25">
        <v>0</v>
      </c>
      <c r="G82" s="25">
        <v>0</v>
      </c>
      <c r="H82" s="25">
        <v>0</v>
      </c>
      <c r="I82" s="24">
        <f t="shared" ref="I82:M82" si="86">I79+I80+I81</f>
        <v>3148.0230000000001</v>
      </c>
      <c r="J82" s="25">
        <f t="shared" si="86"/>
        <v>458.40800000000002</v>
      </c>
      <c r="K82" s="25">
        <f t="shared" si="86"/>
        <v>841.23700000000008</v>
      </c>
      <c r="L82" s="25">
        <f t="shared" si="86"/>
        <v>984.601</v>
      </c>
      <c r="M82" s="25">
        <f t="shared" si="86"/>
        <v>863.77700000000004</v>
      </c>
      <c r="N82" s="15">
        <f t="shared" si="82"/>
        <v>-216.43099999999959</v>
      </c>
      <c r="O82" s="17">
        <f t="shared" si="82"/>
        <v>458.40800000000002</v>
      </c>
      <c r="P82" s="17">
        <f t="shared" si="82"/>
        <v>841.23700000000008</v>
      </c>
      <c r="Q82" s="17">
        <f t="shared" si="82"/>
        <v>984.601</v>
      </c>
      <c r="R82" s="17">
        <f t="shared" si="82"/>
        <v>863.77700000000004</v>
      </c>
      <c r="S82" s="18">
        <f t="shared" si="84"/>
        <v>0.93567128574205516</v>
      </c>
      <c r="T82" s="18" t="s">
        <v>126</v>
      </c>
      <c r="U82" s="18" t="s">
        <v>126</v>
      </c>
      <c r="V82" s="18" t="s">
        <v>126</v>
      </c>
      <c r="W82" s="18" t="s">
        <v>126</v>
      </c>
      <c r="X82" s="20"/>
    </row>
    <row r="83" spans="1:24" ht="36" customHeight="1" x14ac:dyDescent="0.25">
      <c r="A83" s="198"/>
      <c r="B83" s="204" t="s">
        <v>58</v>
      </c>
      <c r="C83" s="158" t="s">
        <v>1</v>
      </c>
      <c r="D83" s="24">
        <v>7.4</v>
      </c>
      <c r="E83" s="49">
        <v>0</v>
      </c>
      <c r="F83" s="49">
        <v>0</v>
      </c>
      <c r="G83" s="49">
        <v>0</v>
      </c>
      <c r="H83" s="49">
        <v>0</v>
      </c>
      <c r="I83" s="24">
        <f>SUM(J83:M83)</f>
        <v>7.4</v>
      </c>
      <c r="J83" s="49">
        <v>0</v>
      </c>
      <c r="K83" s="26">
        <v>0</v>
      </c>
      <c r="L83" s="26">
        <v>0</v>
      </c>
      <c r="M83" s="26">
        <v>7.4</v>
      </c>
      <c r="N83" s="15">
        <f t="shared" si="82"/>
        <v>0</v>
      </c>
      <c r="O83" s="17">
        <f t="shared" si="82"/>
        <v>0</v>
      </c>
      <c r="P83" s="17">
        <f t="shared" si="82"/>
        <v>0</v>
      </c>
      <c r="Q83" s="17">
        <f t="shared" si="82"/>
        <v>0</v>
      </c>
      <c r="R83" s="17">
        <f t="shared" si="82"/>
        <v>7.4</v>
      </c>
      <c r="S83" s="18" t="s">
        <v>126</v>
      </c>
      <c r="T83" s="18" t="s">
        <v>126</v>
      </c>
      <c r="U83" s="18" t="s">
        <v>126</v>
      </c>
      <c r="V83" s="18" t="s">
        <v>126</v>
      </c>
      <c r="W83" s="18" t="s">
        <v>126</v>
      </c>
      <c r="X83" s="20"/>
    </row>
    <row r="84" spans="1:24" ht="36" customHeight="1" x14ac:dyDescent="0.25">
      <c r="A84" s="198"/>
      <c r="B84" s="204"/>
      <c r="C84" s="158" t="s">
        <v>2</v>
      </c>
      <c r="D84" s="24">
        <v>7095.3379999999997</v>
      </c>
      <c r="E84" s="49">
        <v>0</v>
      </c>
      <c r="F84" s="49">
        <v>0</v>
      </c>
      <c r="G84" s="49">
        <v>0</v>
      </c>
      <c r="H84" s="49">
        <v>0</v>
      </c>
      <c r="I84" s="24">
        <f>SUM(J84:M84)</f>
        <v>7095.3379999999997</v>
      </c>
      <c r="J84" s="49">
        <v>1473.252</v>
      </c>
      <c r="K84" s="26">
        <v>507.28199999999998</v>
      </c>
      <c r="L84" s="41">
        <v>2529.7289999999998</v>
      </c>
      <c r="M84" s="41">
        <v>2585.0749999999998</v>
      </c>
      <c r="N84" s="15">
        <f t="shared" si="82"/>
        <v>0</v>
      </c>
      <c r="O84" s="17">
        <f t="shared" si="82"/>
        <v>1473.252</v>
      </c>
      <c r="P84" s="17">
        <f t="shared" si="82"/>
        <v>507.28199999999998</v>
      </c>
      <c r="Q84" s="17">
        <f t="shared" si="82"/>
        <v>2529.7289999999998</v>
      </c>
      <c r="R84" s="17">
        <f t="shared" si="82"/>
        <v>2585.0749999999998</v>
      </c>
      <c r="S84" s="18">
        <f t="shared" si="84"/>
        <v>1</v>
      </c>
      <c r="T84" s="18" t="s">
        <v>126</v>
      </c>
      <c r="U84" s="18" t="s">
        <v>126</v>
      </c>
      <c r="V84" s="18" t="s">
        <v>126</v>
      </c>
      <c r="W84" s="18" t="s">
        <v>126</v>
      </c>
      <c r="X84" s="20"/>
    </row>
    <row r="85" spans="1:24" ht="36" customHeight="1" x14ac:dyDescent="0.25">
      <c r="A85" s="198"/>
      <c r="B85" s="204"/>
      <c r="C85" s="158" t="s">
        <v>4</v>
      </c>
      <c r="D85" s="24">
        <v>12535.278</v>
      </c>
      <c r="E85" s="49">
        <v>0</v>
      </c>
      <c r="F85" s="49">
        <v>0</v>
      </c>
      <c r="G85" s="49">
        <v>0</v>
      </c>
      <c r="H85" s="49">
        <v>0</v>
      </c>
      <c r="I85" s="24">
        <f>SUM(J85:M85)</f>
        <v>11547.212</v>
      </c>
      <c r="J85" s="49">
        <v>1635.454</v>
      </c>
      <c r="K85" s="26">
        <v>4339.88</v>
      </c>
      <c r="L85" s="41">
        <v>1635.7239999999999</v>
      </c>
      <c r="M85" s="41">
        <v>3936.154</v>
      </c>
      <c r="N85" s="15">
        <f t="shared" si="82"/>
        <v>-988.06600000000071</v>
      </c>
      <c r="O85" s="17">
        <f t="shared" si="82"/>
        <v>1635.454</v>
      </c>
      <c r="P85" s="17">
        <f t="shared" si="82"/>
        <v>4339.88</v>
      </c>
      <c r="Q85" s="17">
        <f t="shared" si="82"/>
        <v>1635.7239999999999</v>
      </c>
      <c r="R85" s="17">
        <f t="shared" si="82"/>
        <v>3936.154</v>
      </c>
      <c r="S85" s="18">
        <f t="shared" si="84"/>
        <v>0.92117717692419743</v>
      </c>
      <c r="T85" s="18" t="s">
        <v>126</v>
      </c>
      <c r="U85" s="18" t="s">
        <v>126</v>
      </c>
      <c r="V85" s="18" t="s">
        <v>126</v>
      </c>
      <c r="W85" s="18" t="s">
        <v>126</v>
      </c>
      <c r="X85" s="20"/>
    </row>
    <row r="86" spans="1:24" ht="36" customHeight="1" x14ac:dyDescent="0.25">
      <c r="A86" s="198"/>
      <c r="B86" s="204"/>
      <c r="C86" s="158" t="s">
        <v>20</v>
      </c>
      <c r="D86" s="24">
        <f>D83+D84+D85</f>
        <v>19638.016</v>
      </c>
      <c r="E86" s="25">
        <f t="shared" ref="E86:M86" si="87">E83+E84+E85</f>
        <v>0</v>
      </c>
      <c r="F86" s="25">
        <f t="shared" si="87"/>
        <v>0</v>
      </c>
      <c r="G86" s="25">
        <f t="shared" si="87"/>
        <v>0</v>
      </c>
      <c r="H86" s="25">
        <f t="shared" si="87"/>
        <v>0</v>
      </c>
      <c r="I86" s="24">
        <f t="shared" si="87"/>
        <v>18649.949999999997</v>
      </c>
      <c r="J86" s="25">
        <f t="shared" si="87"/>
        <v>3108.7060000000001</v>
      </c>
      <c r="K86" s="25">
        <f t="shared" si="87"/>
        <v>4847.1620000000003</v>
      </c>
      <c r="L86" s="25">
        <f t="shared" si="87"/>
        <v>4165.4529999999995</v>
      </c>
      <c r="M86" s="25">
        <f t="shared" si="87"/>
        <v>6528.6289999999999</v>
      </c>
      <c r="N86" s="15">
        <f t="shared" si="82"/>
        <v>-988.06600000000253</v>
      </c>
      <c r="O86" s="17">
        <f t="shared" si="82"/>
        <v>3108.7060000000001</v>
      </c>
      <c r="P86" s="17">
        <f t="shared" si="82"/>
        <v>4847.1620000000003</v>
      </c>
      <c r="Q86" s="17">
        <f t="shared" si="82"/>
        <v>4165.4529999999995</v>
      </c>
      <c r="R86" s="17">
        <f t="shared" si="82"/>
        <v>6528.6289999999999</v>
      </c>
      <c r="S86" s="18">
        <f t="shared" si="84"/>
        <v>0.94968605789912774</v>
      </c>
      <c r="T86" s="18" t="s">
        <v>126</v>
      </c>
      <c r="U86" s="18" t="s">
        <v>126</v>
      </c>
      <c r="V86" s="18" t="s">
        <v>126</v>
      </c>
      <c r="W86" s="18" t="s">
        <v>126</v>
      </c>
      <c r="X86" s="20"/>
    </row>
    <row r="87" spans="1:24" ht="36" customHeight="1" x14ac:dyDescent="0.25">
      <c r="A87" s="198"/>
      <c r="B87" s="204" t="s">
        <v>59</v>
      </c>
      <c r="C87" s="158" t="s">
        <v>1</v>
      </c>
      <c r="D87" s="24">
        <f>SUM(E87:H87)</f>
        <v>0</v>
      </c>
      <c r="E87" s="49">
        <v>0</v>
      </c>
      <c r="F87" s="49">
        <v>0</v>
      </c>
      <c r="G87" s="49">
        <v>0</v>
      </c>
      <c r="H87" s="49">
        <v>0</v>
      </c>
      <c r="I87" s="24">
        <f>SUM(J87:M87)</f>
        <v>0</v>
      </c>
      <c r="J87" s="49">
        <v>0</v>
      </c>
      <c r="K87" s="26">
        <v>0</v>
      </c>
      <c r="L87" s="26">
        <v>0</v>
      </c>
      <c r="M87" s="26">
        <v>0</v>
      </c>
      <c r="N87" s="15">
        <f t="shared" si="82"/>
        <v>0</v>
      </c>
      <c r="O87" s="17">
        <f t="shared" si="82"/>
        <v>0</v>
      </c>
      <c r="P87" s="17">
        <f t="shared" si="82"/>
        <v>0</v>
      </c>
      <c r="Q87" s="17">
        <f t="shared" si="82"/>
        <v>0</v>
      </c>
      <c r="R87" s="17">
        <f t="shared" si="82"/>
        <v>0</v>
      </c>
      <c r="S87" s="18" t="s">
        <v>126</v>
      </c>
      <c r="T87" s="18" t="s">
        <v>126</v>
      </c>
      <c r="U87" s="18" t="s">
        <v>126</v>
      </c>
      <c r="V87" s="18" t="s">
        <v>126</v>
      </c>
      <c r="W87" s="18" t="s">
        <v>126</v>
      </c>
      <c r="X87" s="20"/>
    </row>
    <row r="88" spans="1:24" ht="36" customHeight="1" x14ac:dyDescent="0.25">
      <c r="A88" s="198"/>
      <c r="B88" s="204"/>
      <c r="C88" s="158" t="s">
        <v>2</v>
      </c>
      <c r="D88" s="24">
        <v>2259.5030000000002</v>
      </c>
      <c r="E88" s="49">
        <v>0</v>
      </c>
      <c r="F88" s="49">
        <v>0</v>
      </c>
      <c r="G88" s="49">
        <v>0</v>
      </c>
      <c r="H88" s="49">
        <v>0</v>
      </c>
      <c r="I88" s="24">
        <f>SUM(J88:M88)</f>
        <v>2259.5029999999997</v>
      </c>
      <c r="J88" s="49">
        <v>612.87800000000004</v>
      </c>
      <c r="K88" s="26">
        <v>297.113</v>
      </c>
      <c r="L88" s="41">
        <v>570.904</v>
      </c>
      <c r="M88" s="41">
        <v>778.60799999999995</v>
      </c>
      <c r="N88" s="15">
        <f t="shared" si="82"/>
        <v>0</v>
      </c>
      <c r="O88" s="17">
        <f t="shared" si="82"/>
        <v>612.87800000000004</v>
      </c>
      <c r="P88" s="17">
        <f t="shared" si="82"/>
        <v>297.113</v>
      </c>
      <c r="Q88" s="17">
        <f t="shared" si="82"/>
        <v>570.904</v>
      </c>
      <c r="R88" s="17">
        <f t="shared" si="82"/>
        <v>778.60799999999995</v>
      </c>
      <c r="S88" s="18">
        <f t="shared" si="84"/>
        <v>0.99999999999999978</v>
      </c>
      <c r="T88" s="18" t="s">
        <v>126</v>
      </c>
      <c r="U88" s="18" t="s">
        <v>126</v>
      </c>
      <c r="V88" s="18" t="s">
        <v>126</v>
      </c>
      <c r="W88" s="18" t="s">
        <v>126</v>
      </c>
      <c r="X88" s="20"/>
    </row>
    <row r="89" spans="1:24" ht="36" customHeight="1" x14ac:dyDescent="0.25">
      <c r="A89" s="198"/>
      <c r="B89" s="204"/>
      <c r="C89" s="158" t="s">
        <v>4</v>
      </c>
      <c r="D89" s="24">
        <v>13581.522000000001</v>
      </c>
      <c r="E89" s="49">
        <v>0</v>
      </c>
      <c r="F89" s="49">
        <v>0</v>
      </c>
      <c r="G89" s="49">
        <v>0</v>
      </c>
      <c r="H89" s="49">
        <v>0</v>
      </c>
      <c r="I89" s="24">
        <f>SUM(J89:M89)</f>
        <v>12660.373</v>
      </c>
      <c r="J89" s="49">
        <v>2287.3049999999998</v>
      </c>
      <c r="K89" s="26">
        <v>5315.7830000000004</v>
      </c>
      <c r="L89" s="41">
        <v>1596.537</v>
      </c>
      <c r="M89" s="41">
        <v>3460.748</v>
      </c>
      <c r="N89" s="15">
        <f t="shared" si="82"/>
        <v>-921.14900000000125</v>
      </c>
      <c r="O89" s="17">
        <f t="shared" si="82"/>
        <v>2287.3049999999998</v>
      </c>
      <c r="P89" s="17">
        <f t="shared" si="82"/>
        <v>5315.7830000000004</v>
      </c>
      <c r="Q89" s="17">
        <f t="shared" si="82"/>
        <v>1596.537</v>
      </c>
      <c r="R89" s="17">
        <f t="shared" si="82"/>
        <v>3460.748</v>
      </c>
      <c r="S89" s="18">
        <f t="shared" si="84"/>
        <v>0.93217630542438457</v>
      </c>
      <c r="T89" s="18" t="s">
        <v>126</v>
      </c>
      <c r="U89" s="18" t="s">
        <v>126</v>
      </c>
      <c r="V89" s="18" t="s">
        <v>126</v>
      </c>
      <c r="W89" s="18" t="s">
        <v>126</v>
      </c>
      <c r="X89" s="20"/>
    </row>
    <row r="90" spans="1:24" ht="36" customHeight="1" x14ac:dyDescent="0.25">
      <c r="A90" s="198"/>
      <c r="B90" s="204"/>
      <c r="C90" s="158" t="s">
        <v>20</v>
      </c>
      <c r="D90" s="24">
        <f>D87+D88+D89</f>
        <v>15841.025000000001</v>
      </c>
      <c r="E90" s="25">
        <f t="shared" ref="E90:M90" si="88">E87+E88+E89</f>
        <v>0</v>
      </c>
      <c r="F90" s="25">
        <f t="shared" si="88"/>
        <v>0</v>
      </c>
      <c r="G90" s="25">
        <f t="shared" si="88"/>
        <v>0</v>
      </c>
      <c r="H90" s="25">
        <f t="shared" si="88"/>
        <v>0</v>
      </c>
      <c r="I90" s="24">
        <f t="shared" si="88"/>
        <v>14919.876</v>
      </c>
      <c r="J90" s="25">
        <f t="shared" si="88"/>
        <v>2900.183</v>
      </c>
      <c r="K90" s="25">
        <f t="shared" si="88"/>
        <v>5612.8960000000006</v>
      </c>
      <c r="L90" s="25">
        <f t="shared" si="88"/>
        <v>2167.4409999999998</v>
      </c>
      <c r="M90" s="25">
        <f t="shared" si="88"/>
        <v>4239.3559999999998</v>
      </c>
      <c r="N90" s="15">
        <f t="shared" si="82"/>
        <v>-921.14900000000125</v>
      </c>
      <c r="O90" s="17">
        <f t="shared" si="82"/>
        <v>2900.183</v>
      </c>
      <c r="P90" s="17">
        <f t="shared" si="82"/>
        <v>5612.8960000000006</v>
      </c>
      <c r="Q90" s="17">
        <f t="shared" si="82"/>
        <v>2167.4409999999998</v>
      </c>
      <c r="R90" s="17">
        <f t="shared" si="82"/>
        <v>4239.3559999999998</v>
      </c>
      <c r="S90" s="18">
        <f t="shared" si="84"/>
        <v>0.94185041687643312</v>
      </c>
      <c r="T90" s="18" t="s">
        <v>126</v>
      </c>
      <c r="U90" s="18" t="s">
        <v>126</v>
      </c>
      <c r="V90" s="18" t="s">
        <v>126</v>
      </c>
      <c r="W90" s="18" t="s">
        <v>126</v>
      </c>
      <c r="X90" s="20"/>
    </row>
    <row r="91" spans="1:24" ht="36" customHeight="1" x14ac:dyDescent="0.25">
      <c r="A91" s="198"/>
      <c r="B91" s="213" t="s">
        <v>60</v>
      </c>
      <c r="C91" s="158" t="s">
        <v>1</v>
      </c>
      <c r="D91" s="24">
        <f>SUM(E91:H91)</f>
        <v>0</v>
      </c>
      <c r="E91" s="25">
        <f t="shared" ref="E91:H91" si="89">E88+E89+E90</f>
        <v>0</v>
      </c>
      <c r="F91" s="25">
        <f t="shared" si="89"/>
        <v>0</v>
      </c>
      <c r="G91" s="25">
        <f t="shared" si="89"/>
        <v>0</v>
      </c>
      <c r="H91" s="25">
        <f t="shared" si="89"/>
        <v>0</v>
      </c>
      <c r="I91" s="24">
        <f>SUM(J91:M91)</f>
        <v>0</v>
      </c>
      <c r="J91" s="25">
        <v>0</v>
      </c>
      <c r="K91" s="25">
        <v>0</v>
      </c>
      <c r="L91" s="25">
        <v>0</v>
      </c>
      <c r="M91" s="25">
        <v>0</v>
      </c>
      <c r="N91" s="15">
        <f t="shared" ref="N91:N134" si="90">I91-D91</f>
        <v>0</v>
      </c>
      <c r="O91" s="17">
        <f t="shared" ref="O91:O134" si="91">J91-E91</f>
        <v>0</v>
      </c>
      <c r="P91" s="17">
        <f t="shared" ref="P91:P134" si="92">K91-F91</f>
        <v>0</v>
      </c>
      <c r="Q91" s="17">
        <f t="shared" ref="Q91:Q134" si="93">L91-G91</f>
        <v>0</v>
      </c>
      <c r="R91" s="17">
        <f t="shared" ref="R91:R134" si="94">M91-H91</f>
        <v>0</v>
      </c>
      <c r="S91" s="18" t="s">
        <v>126</v>
      </c>
      <c r="T91" s="18" t="s">
        <v>126</v>
      </c>
      <c r="U91" s="18" t="s">
        <v>126</v>
      </c>
      <c r="V91" s="18" t="s">
        <v>126</v>
      </c>
      <c r="W91" s="18" t="s">
        <v>126</v>
      </c>
      <c r="X91" s="20"/>
    </row>
    <row r="92" spans="1:24" ht="36" customHeight="1" x14ac:dyDescent="0.25">
      <c r="A92" s="198"/>
      <c r="B92" s="214"/>
      <c r="C92" s="158" t="s">
        <v>2</v>
      </c>
      <c r="D92" s="24">
        <f>SUM(E92:H92)</f>
        <v>0</v>
      </c>
      <c r="E92" s="25">
        <f t="shared" ref="E92:H92" si="95">E89+E90+E91</f>
        <v>0</v>
      </c>
      <c r="F92" s="25">
        <f t="shared" si="95"/>
        <v>0</v>
      </c>
      <c r="G92" s="25">
        <f t="shared" si="95"/>
        <v>0</v>
      </c>
      <c r="H92" s="25">
        <f t="shared" si="95"/>
        <v>0</v>
      </c>
      <c r="I92" s="24">
        <f>SUM(J92:M92)</f>
        <v>0</v>
      </c>
      <c r="J92" s="25">
        <v>0</v>
      </c>
      <c r="K92" s="25">
        <v>0</v>
      </c>
      <c r="L92" s="25">
        <v>0</v>
      </c>
      <c r="M92" s="25">
        <v>0</v>
      </c>
      <c r="N92" s="15">
        <f t="shared" si="90"/>
        <v>0</v>
      </c>
      <c r="O92" s="17">
        <f t="shared" si="91"/>
        <v>0</v>
      </c>
      <c r="P92" s="17">
        <f t="shared" si="92"/>
        <v>0</v>
      </c>
      <c r="Q92" s="17">
        <f t="shared" si="93"/>
        <v>0</v>
      </c>
      <c r="R92" s="17">
        <f t="shared" si="94"/>
        <v>0</v>
      </c>
      <c r="S92" s="18" t="s">
        <v>126</v>
      </c>
      <c r="T92" s="18" t="s">
        <v>126</v>
      </c>
      <c r="U92" s="18" t="s">
        <v>126</v>
      </c>
      <c r="V92" s="18" t="s">
        <v>126</v>
      </c>
      <c r="W92" s="18" t="s">
        <v>126</v>
      </c>
      <c r="X92" s="20"/>
    </row>
    <row r="93" spans="1:24" ht="36" customHeight="1" x14ac:dyDescent="0.25">
      <c r="A93" s="198"/>
      <c r="B93" s="214"/>
      <c r="C93" s="158" t="s">
        <v>4</v>
      </c>
      <c r="D93" s="24">
        <f>SUM(E93:H93)</f>
        <v>0</v>
      </c>
      <c r="E93" s="25">
        <f t="shared" ref="E93:H93" si="96">E90+E91+E92</f>
        <v>0</v>
      </c>
      <c r="F93" s="25">
        <f t="shared" si="96"/>
        <v>0</v>
      </c>
      <c r="G93" s="25">
        <f t="shared" si="96"/>
        <v>0</v>
      </c>
      <c r="H93" s="25">
        <f t="shared" si="96"/>
        <v>0</v>
      </c>
      <c r="I93" s="24">
        <f>SUM(J93:M93)</f>
        <v>0</v>
      </c>
      <c r="J93" s="25">
        <v>0</v>
      </c>
      <c r="K93" s="25">
        <v>0</v>
      </c>
      <c r="L93" s="25">
        <v>0</v>
      </c>
      <c r="M93" s="25">
        <v>0</v>
      </c>
      <c r="N93" s="15">
        <f t="shared" si="90"/>
        <v>0</v>
      </c>
      <c r="O93" s="17">
        <f t="shared" si="91"/>
        <v>0</v>
      </c>
      <c r="P93" s="17">
        <f t="shared" si="92"/>
        <v>0</v>
      </c>
      <c r="Q93" s="17">
        <f t="shared" si="93"/>
        <v>0</v>
      </c>
      <c r="R93" s="17">
        <f t="shared" si="94"/>
        <v>0</v>
      </c>
      <c r="S93" s="18" t="s">
        <v>126</v>
      </c>
      <c r="T93" s="18" t="s">
        <v>126</v>
      </c>
      <c r="U93" s="18" t="s">
        <v>126</v>
      </c>
      <c r="V93" s="18" t="s">
        <v>126</v>
      </c>
      <c r="W93" s="18" t="s">
        <v>126</v>
      </c>
      <c r="X93" s="20"/>
    </row>
    <row r="94" spans="1:24" ht="36" customHeight="1" x14ac:dyDescent="0.25">
      <c r="A94" s="198"/>
      <c r="B94" s="215"/>
      <c r="C94" s="158" t="s">
        <v>20</v>
      </c>
      <c r="D94" s="24">
        <f>D91+D92+D93</f>
        <v>0</v>
      </c>
      <c r="E94" s="25">
        <f t="shared" ref="E94:M94" si="97">E91+E92+E93</f>
        <v>0</v>
      </c>
      <c r="F94" s="25">
        <f t="shared" si="97"/>
        <v>0</v>
      </c>
      <c r="G94" s="25">
        <f t="shared" si="97"/>
        <v>0</v>
      </c>
      <c r="H94" s="25">
        <f t="shared" si="97"/>
        <v>0</v>
      </c>
      <c r="I94" s="24">
        <f t="shared" si="97"/>
        <v>0</v>
      </c>
      <c r="J94" s="25">
        <f t="shared" si="97"/>
        <v>0</v>
      </c>
      <c r="K94" s="25">
        <f t="shared" si="97"/>
        <v>0</v>
      </c>
      <c r="L94" s="25">
        <f t="shared" si="97"/>
        <v>0</v>
      </c>
      <c r="M94" s="25">
        <f t="shared" si="97"/>
        <v>0</v>
      </c>
      <c r="N94" s="15">
        <f t="shared" si="90"/>
        <v>0</v>
      </c>
      <c r="O94" s="17">
        <f t="shared" si="91"/>
        <v>0</v>
      </c>
      <c r="P94" s="17">
        <f t="shared" si="92"/>
        <v>0</v>
      </c>
      <c r="Q94" s="17">
        <f t="shared" si="93"/>
        <v>0</v>
      </c>
      <c r="R94" s="17">
        <f t="shared" si="94"/>
        <v>0</v>
      </c>
      <c r="S94" s="18" t="s">
        <v>126</v>
      </c>
      <c r="T94" s="18" t="s">
        <v>126</v>
      </c>
      <c r="U94" s="18" t="s">
        <v>126</v>
      </c>
      <c r="V94" s="18" t="s">
        <v>126</v>
      </c>
      <c r="W94" s="18" t="s">
        <v>126</v>
      </c>
      <c r="X94" s="20"/>
    </row>
    <row r="95" spans="1:24" ht="36" customHeight="1" x14ac:dyDescent="0.25">
      <c r="A95" s="198"/>
      <c r="B95" s="213" t="s">
        <v>332</v>
      </c>
      <c r="C95" s="158" t="s">
        <v>1</v>
      </c>
      <c r="D95" s="24">
        <v>0</v>
      </c>
      <c r="E95" s="25">
        <v>0</v>
      </c>
      <c r="F95" s="25">
        <v>0</v>
      </c>
      <c r="G95" s="25">
        <v>0</v>
      </c>
      <c r="H95" s="25">
        <v>0</v>
      </c>
      <c r="I95" s="24">
        <v>0</v>
      </c>
      <c r="J95" s="25">
        <v>0</v>
      </c>
      <c r="K95" s="25">
        <v>0</v>
      </c>
      <c r="L95" s="25">
        <v>0</v>
      </c>
      <c r="M95" s="25">
        <v>0</v>
      </c>
      <c r="N95" s="15">
        <v>0</v>
      </c>
      <c r="O95" s="17">
        <f t="shared" ref="O95:O98" si="98">J95-E95</f>
        <v>0</v>
      </c>
      <c r="P95" s="17">
        <f t="shared" ref="P95:P98" si="99">K95-F95</f>
        <v>0</v>
      </c>
      <c r="Q95" s="17">
        <f t="shared" ref="Q95:Q98" si="100">L95-G95</f>
        <v>0</v>
      </c>
      <c r="R95" s="17">
        <f t="shared" ref="R95:R98" si="101">M95-H95</f>
        <v>0</v>
      </c>
      <c r="S95" s="18" t="s">
        <v>126</v>
      </c>
      <c r="T95" s="18" t="s">
        <v>126</v>
      </c>
      <c r="U95" s="18" t="s">
        <v>126</v>
      </c>
      <c r="V95" s="18" t="s">
        <v>126</v>
      </c>
      <c r="W95" s="18" t="s">
        <v>126</v>
      </c>
      <c r="X95" s="20"/>
    </row>
    <row r="96" spans="1:24" ht="36" customHeight="1" x14ac:dyDescent="0.25">
      <c r="A96" s="198"/>
      <c r="B96" s="214"/>
      <c r="C96" s="158" t="s">
        <v>2</v>
      </c>
      <c r="D96" s="24">
        <v>0</v>
      </c>
      <c r="E96" s="25">
        <v>0</v>
      </c>
      <c r="F96" s="25">
        <v>0</v>
      </c>
      <c r="G96" s="25">
        <v>0</v>
      </c>
      <c r="H96" s="25">
        <v>0</v>
      </c>
      <c r="I96" s="24">
        <v>0</v>
      </c>
      <c r="J96" s="25">
        <v>0</v>
      </c>
      <c r="K96" s="25">
        <v>0</v>
      </c>
      <c r="L96" s="25">
        <v>0</v>
      </c>
      <c r="M96" s="25">
        <v>0</v>
      </c>
      <c r="N96" s="15">
        <v>0</v>
      </c>
      <c r="O96" s="17">
        <f t="shared" si="98"/>
        <v>0</v>
      </c>
      <c r="P96" s="17">
        <f t="shared" si="99"/>
        <v>0</v>
      </c>
      <c r="Q96" s="17">
        <f t="shared" si="100"/>
        <v>0</v>
      </c>
      <c r="R96" s="17">
        <f t="shared" si="101"/>
        <v>0</v>
      </c>
      <c r="S96" s="18" t="s">
        <v>126</v>
      </c>
      <c r="T96" s="18" t="s">
        <v>126</v>
      </c>
      <c r="U96" s="18" t="s">
        <v>126</v>
      </c>
      <c r="V96" s="18" t="s">
        <v>126</v>
      </c>
      <c r="W96" s="18" t="s">
        <v>126</v>
      </c>
      <c r="X96" s="20"/>
    </row>
    <row r="97" spans="1:24" ht="36" customHeight="1" x14ac:dyDescent="0.25">
      <c r="A97" s="198"/>
      <c r="B97" s="214"/>
      <c r="C97" s="158" t="s">
        <v>4</v>
      </c>
      <c r="D97" s="24">
        <v>942.97299999999996</v>
      </c>
      <c r="E97" s="25">
        <v>0</v>
      </c>
      <c r="F97" s="25">
        <v>0</v>
      </c>
      <c r="G97" s="25">
        <v>0</v>
      </c>
      <c r="H97" s="25">
        <v>0</v>
      </c>
      <c r="I97" s="24">
        <v>942.97299999999996</v>
      </c>
      <c r="J97" s="25">
        <v>0</v>
      </c>
      <c r="K97" s="25">
        <v>0</v>
      </c>
      <c r="L97" s="25">
        <v>613.16700000000003</v>
      </c>
      <c r="M97" s="25">
        <v>329.59500000000003</v>
      </c>
      <c r="N97" s="15">
        <v>0</v>
      </c>
      <c r="O97" s="17">
        <f t="shared" si="98"/>
        <v>0</v>
      </c>
      <c r="P97" s="17">
        <f t="shared" si="99"/>
        <v>0</v>
      </c>
      <c r="Q97" s="17">
        <f t="shared" si="100"/>
        <v>613.16700000000003</v>
      </c>
      <c r="R97" s="17">
        <f t="shared" si="101"/>
        <v>329.59500000000003</v>
      </c>
      <c r="S97" s="18" t="s">
        <v>126</v>
      </c>
      <c r="T97" s="18" t="s">
        <v>126</v>
      </c>
      <c r="U97" s="18" t="s">
        <v>126</v>
      </c>
      <c r="V97" s="18" t="s">
        <v>126</v>
      </c>
      <c r="W97" s="18" t="s">
        <v>126</v>
      </c>
      <c r="X97" s="20"/>
    </row>
    <row r="98" spans="1:24" ht="36" customHeight="1" x14ac:dyDescent="0.25">
      <c r="A98" s="199"/>
      <c r="B98" s="215"/>
      <c r="C98" s="158" t="s">
        <v>20</v>
      </c>
      <c r="D98" s="24">
        <f>D97+D96+D95</f>
        <v>942.97299999999996</v>
      </c>
      <c r="E98" s="25">
        <v>0</v>
      </c>
      <c r="F98" s="25">
        <v>0</v>
      </c>
      <c r="G98" s="25">
        <v>0</v>
      </c>
      <c r="H98" s="25">
        <v>0</v>
      </c>
      <c r="I98" s="24">
        <v>942.76199999999994</v>
      </c>
      <c r="J98" s="25">
        <v>0</v>
      </c>
      <c r="K98" s="25">
        <v>0</v>
      </c>
      <c r="L98" s="25">
        <v>613.16700000000003</v>
      </c>
      <c r="M98" s="25">
        <v>329.59500000000003</v>
      </c>
      <c r="N98" s="15">
        <v>0</v>
      </c>
      <c r="O98" s="17">
        <f t="shared" si="98"/>
        <v>0</v>
      </c>
      <c r="P98" s="17">
        <f t="shared" si="99"/>
        <v>0</v>
      </c>
      <c r="Q98" s="17">
        <f t="shared" si="100"/>
        <v>613.16700000000003</v>
      </c>
      <c r="R98" s="17">
        <f t="shared" si="101"/>
        <v>329.59500000000003</v>
      </c>
      <c r="S98" s="18" t="s">
        <v>126</v>
      </c>
      <c r="T98" s="18" t="s">
        <v>126</v>
      </c>
      <c r="U98" s="18" t="s">
        <v>126</v>
      </c>
      <c r="V98" s="18" t="s">
        <v>126</v>
      </c>
      <c r="W98" s="18" t="s">
        <v>126</v>
      </c>
      <c r="X98" s="20"/>
    </row>
    <row r="99" spans="1:24" s="54" customFormat="1" ht="36" customHeight="1" x14ac:dyDescent="0.25">
      <c r="A99" s="203">
        <v>6</v>
      </c>
      <c r="B99" s="225" t="s">
        <v>32</v>
      </c>
      <c r="C99" s="160" t="s">
        <v>1</v>
      </c>
      <c r="D99" s="58">
        <f>E99+F99+G99+H99</f>
        <v>0</v>
      </c>
      <c r="E99" s="53">
        <f>E103+E107+E111</f>
        <v>0</v>
      </c>
      <c r="F99" s="53">
        <f>F103+F107+F111</f>
        <v>0</v>
      </c>
      <c r="G99" s="53">
        <f>G103+G107+G111</f>
        <v>0</v>
      </c>
      <c r="H99" s="53">
        <f>H103+H107+H111</f>
        <v>0</v>
      </c>
      <c r="I99" s="58">
        <f t="shared" ref="I99:I102" si="102">J99+K99+L99+M99</f>
        <v>0</v>
      </c>
      <c r="J99" s="53">
        <f>J103+J107+J111</f>
        <v>0</v>
      </c>
      <c r="K99" s="53">
        <f>K103+K107+K111</f>
        <v>0</v>
      </c>
      <c r="L99" s="53">
        <f>L103+L107+L111</f>
        <v>0</v>
      </c>
      <c r="M99" s="53">
        <f>M103+M107+M111</f>
        <v>0</v>
      </c>
      <c r="N99" s="58">
        <f t="shared" si="90"/>
        <v>0</v>
      </c>
      <c r="O99" s="53">
        <f t="shared" si="91"/>
        <v>0</v>
      </c>
      <c r="P99" s="53">
        <f t="shared" si="92"/>
        <v>0</v>
      </c>
      <c r="Q99" s="53">
        <f t="shared" si="93"/>
        <v>0</v>
      </c>
      <c r="R99" s="53">
        <f t="shared" si="94"/>
        <v>0</v>
      </c>
      <c r="S99" s="59" t="s">
        <v>126</v>
      </c>
      <c r="T99" s="59" t="s">
        <v>126</v>
      </c>
      <c r="U99" s="59" t="s">
        <v>126</v>
      </c>
      <c r="V99" s="59" t="s">
        <v>126</v>
      </c>
      <c r="W99" s="59" t="s">
        <v>126</v>
      </c>
      <c r="X99" s="36"/>
    </row>
    <row r="100" spans="1:24" s="54" customFormat="1" ht="36" customHeight="1" x14ac:dyDescent="0.25">
      <c r="A100" s="203"/>
      <c r="B100" s="225"/>
      <c r="C100" s="160" t="s">
        <v>2</v>
      </c>
      <c r="D100" s="58">
        <f>8337.1+1881.14</f>
        <v>10218.24</v>
      </c>
      <c r="E100" s="53">
        <f t="shared" ref="E100:H102" si="103">E104+E108+E112</f>
        <v>1881.1411499999999</v>
      </c>
      <c r="F100" s="53">
        <f t="shared" si="103"/>
        <v>0</v>
      </c>
      <c r="G100" s="53">
        <f t="shared" si="103"/>
        <v>0</v>
      </c>
      <c r="H100" s="53">
        <f t="shared" si="103"/>
        <v>0</v>
      </c>
      <c r="I100" s="58">
        <f t="shared" si="102"/>
        <v>10216.041150000001</v>
      </c>
      <c r="J100" s="53">
        <v>255.4</v>
      </c>
      <c r="K100" s="53">
        <v>331.5</v>
      </c>
      <c r="L100" s="53">
        <v>1322.3</v>
      </c>
      <c r="M100" s="53">
        <f>6425.7+1881.14115</f>
        <v>8306.8411500000002</v>
      </c>
      <c r="N100" s="58">
        <f t="shared" si="90"/>
        <v>-2.1988499999988562</v>
      </c>
      <c r="O100" s="53">
        <f t="shared" si="91"/>
        <v>-1625.7411499999998</v>
      </c>
      <c r="P100" s="53">
        <f t="shared" si="92"/>
        <v>331.5</v>
      </c>
      <c r="Q100" s="53">
        <f t="shared" si="93"/>
        <v>1322.3</v>
      </c>
      <c r="R100" s="53">
        <f t="shared" si="94"/>
        <v>8306.8411500000002</v>
      </c>
      <c r="S100" s="59">
        <f t="shared" ref="S100:S114" si="104">I100/D100</f>
        <v>0.99978481127865471</v>
      </c>
      <c r="T100" s="59" t="s">
        <v>126</v>
      </c>
      <c r="U100" s="59" t="s">
        <v>126</v>
      </c>
      <c r="V100" s="59" t="s">
        <v>126</v>
      </c>
      <c r="W100" s="59" t="s">
        <v>126</v>
      </c>
    </row>
    <row r="101" spans="1:24" s="54" customFormat="1" ht="36" customHeight="1" x14ac:dyDescent="0.25">
      <c r="A101" s="203"/>
      <c r="B101" s="225"/>
      <c r="C101" s="160" t="s">
        <v>4</v>
      </c>
      <c r="D101" s="58">
        <f>44518.6+200</f>
        <v>44718.6</v>
      </c>
      <c r="E101" s="53">
        <f t="shared" si="103"/>
        <v>0</v>
      </c>
      <c r="F101" s="53">
        <f t="shared" si="103"/>
        <v>200</v>
      </c>
      <c r="G101" s="53">
        <f t="shared" si="103"/>
        <v>0</v>
      </c>
      <c r="H101" s="53">
        <f t="shared" si="103"/>
        <v>0</v>
      </c>
      <c r="I101" s="58">
        <f t="shared" si="102"/>
        <v>31467.1</v>
      </c>
      <c r="J101" s="53">
        <v>4524.5</v>
      </c>
      <c r="K101" s="53">
        <v>5348.4</v>
      </c>
      <c r="L101" s="53">
        <v>9011.1</v>
      </c>
      <c r="M101" s="53">
        <f>12383.1+200</f>
        <v>12583.1</v>
      </c>
      <c r="N101" s="58">
        <f t="shared" si="90"/>
        <v>-13251.5</v>
      </c>
      <c r="O101" s="53">
        <f t="shared" si="91"/>
        <v>4524.5</v>
      </c>
      <c r="P101" s="53">
        <f t="shared" si="92"/>
        <v>5148.3999999999996</v>
      </c>
      <c r="Q101" s="53">
        <f t="shared" si="93"/>
        <v>9011.1</v>
      </c>
      <c r="R101" s="53">
        <f t="shared" si="94"/>
        <v>12583.1</v>
      </c>
      <c r="S101" s="59">
        <f t="shared" si="104"/>
        <v>0.70366916674493385</v>
      </c>
      <c r="T101" s="59" t="s">
        <v>126</v>
      </c>
      <c r="U101" s="59" t="s">
        <v>126</v>
      </c>
      <c r="V101" s="59" t="s">
        <v>126</v>
      </c>
      <c r="W101" s="59" t="s">
        <v>126</v>
      </c>
      <c r="X101" s="36"/>
    </row>
    <row r="102" spans="1:24" s="54" customFormat="1" ht="36" customHeight="1" x14ac:dyDescent="0.25">
      <c r="A102" s="203"/>
      <c r="B102" s="225"/>
      <c r="C102" s="160" t="s">
        <v>21</v>
      </c>
      <c r="D102" s="58">
        <f>52855.7+E102+F102</f>
        <v>54936.84115</v>
      </c>
      <c r="E102" s="53">
        <f t="shared" si="103"/>
        <v>1881.1411499999999</v>
      </c>
      <c r="F102" s="53">
        <f t="shared" si="103"/>
        <v>200</v>
      </c>
      <c r="G102" s="53">
        <f t="shared" si="103"/>
        <v>0</v>
      </c>
      <c r="H102" s="53">
        <f t="shared" si="103"/>
        <v>0</v>
      </c>
      <c r="I102" s="58">
        <f t="shared" si="102"/>
        <v>41683.141149999996</v>
      </c>
      <c r="J102" s="53">
        <f>J106+J110+J114</f>
        <v>4779.8999999999996</v>
      </c>
      <c r="K102" s="53">
        <f>K106+K110+K114</f>
        <v>5679.9</v>
      </c>
      <c r="L102" s="53">
        <v>10333.4</v>
      </c>
      <c r="M102" s="53">
        <f t="shared" ref="M102" si="105">M99+M100+M101</f>
        <v>20889.941149999999</v>
      </c>
      <c r="N102" s="58">
        <f t="shared" si="90"/>
        <v>-13253.700000000004</v>
      </c>
      <c r="O102" s="53">
        <f t="shared" si="91"/>
        <v>2898.7588499999997</v>
      </c>
      <c r="P102" s="53">
        <f t="shared" si="92"/>
        <v>5479.9</v>
      </c>
      <c r="Q102" s="53">
        <f t="shared" si="93"/>
        <v>10333.4</v>
      </c>
      <c r="R102" s="53">
        <f t="shared" si="94"/>
        <v>20889.941149999999</v>
      </c>
      <c r="S102" s="59">
        <f t="shared" si="104"/>
        <v>0.75874659477031103</v>
      </c>
      <c r="T102" s="59" t="s">
        <v>126</v>
      </c>
      <c r="U102" s="59" t="s">
        <v>126</v>
      </c>
      <c r="V102" s="59" t="s">
        <v>126</v>
      </c>
      <c r="W102" s="59" t="s">
        <v>126</v>
      </c>
      <c r="X102" s="36"/>
    </row>
    <row r="103" spans="1:24" s="54" customFormat="1" ht="36" customHeight="1" x14ac:dyDescent="0.25">
      <c r="A103" s="203"/>
      <c r="B103" s="225" t="s">
        <v>61</v>
      </c>
      <c r="C103" s="160" t="s">
        <v>1</v>
      </c>
      <c r="D103" s="58">
        <f>E103+F103+G103+H103</f>
        <v>0</v>
      </c>
      <c r="E103" s="53">
        <v>0</v>
      </c>
      <c r="F103" s="53">
        <v>0</v>
      </c>
      <c r="G103" s="53">
        <v>0</v>
      </c>
      <c r="H103" s="53">
        <v>0</v>
      </c>
      <c r="I103" s="58">
        <f>J103+K103+L103+M103</f>
        <v>0</v>
      </c>
      <c r="J103" s="53">
        <v>0</v>
      </c>
      <c r="K103" s="53">
        <v>0</v>
      </c>
      <c r="L103" s="53">
        <v>0</v>
      </c>
      <c r="M103" s="53">
        <v>0</v>
      </c>
      <c r="N103" s="58">
        <f t="shared" si="90"/>
        <v>0</v>
      </c>
      <c r="O103" s="53">
        <f t="shared" si="91"/>
        <v>0</v>
      </c>
      <c r="P103" s="53">
        <f t="shared" si="92"/>
        <v>0</v>
      </c>
      <c r="Q103" s="53">
        <f t="shared" si="93"/>
        <v>0</v>
      </c>
      <c r="R103" s="53">
        <f t="shared" si="94"/>
        <v>0</v>
      </c>
      <c r="S103" s="59" t="s">
        <v>126</v>
      </c>
      <c r="T103" s="59" t="s">
        <v>126</v>
      </c>
      <c r="U103" s="59" t="s">
        <v>126</v>
      </c>
      <c r="V103" s="59" t="s">
        <v>126</v>
      </c>
      <c r="W103" s="59" t="s">
        <v>126</v>
      </c>
      <c r="X103" s="36"/>
    </row>
    <row r="104" spans="1:24" s="54" customFormat="1" ht="36" customHeight="1" x14ac:dyDescent="0.25">
      <c r="A104" s="203"/>
      <c r="B104" s="225"/>
      <c r="C104" s="160" t="s">
        <v>2</v>
      </c>
      <c r="D104" s="58">
        <v>7034.3</v>
      </c>
      <c r="E104" s="53">
        <v>1881.1411499999999</v>
      </c>
      <c r="F104" s="53">
        <v>0</v>
      </c>
      <c r="G104" s="53">
        <v>0</v>
      </c>
      <c r="H104" s="53">
        <v>0</v>
      </c>
      <c r="I104" s="58">
        <f t="shared" ref="I104:I119" si="106">J104+K104+L104+M104</f>
        <v>8915.4411499999987</v>
      </c>
      <c r="J104" s="53">
        <v>51.5</v>
      </c>
      <c r="K104" s="60">
        <v>263.60000000000002</v>
      </c>
      <c r="L104" s="60">
        <v>886.8</v>
      </c>
      <c r="M104" s="60">
        <f>5832.4+1881.14115</f>
        <v>7713.5411499999991</v>
      </c>
      <c r="N104" s="58">
        <f t="shared" si="90"/>
        <v>1881.1411499999986</v>
      </c>
      <c r="O104" s="53">
        <f t="shared" si="91"/>
        <v>-1829.6411499999999</v>
      </c>
      <c r="P104" s="53">
        <f t="shared" si="92"/>
        <v>263.60000000000002</v>
      </c>
      <c r="Q104" s="53">
        <f t="shared" si="93"/>
        <v>886.8</v>
      </c>
      <c r="R104" s="53">
        <f t="shared" si="94"/>
        <v>7713.5411499999991</v>
      </c>
      <c r="S104" s="59">
        <f t="shared" si="104"/>
        <v>1.2674240720469696</v>
      </c>
      <c r="T104" s="59" t="s">
        <v>126</v>
      </c>
      <c r="U104" s="59" t="s">
        <v>126</v>
      </c>
      <c r="V104" s="59" t="s">
        <v>126</v>
      </c>
      <c r="W104" s="59" t="s">
        <v>126</v>
      </c>
      <c r="X104" s="160"/>
    </row>
    <row r="105" spans="1:24" s="54" customFormat="1" ht="36" customHeight="1" x14ac:dyDescent="0.25">
      <c r="A105" s="203"/>
      <c r="B105" s="225"/>
      <c r="C105" s="160" t="s">
        <v>4</v>
      </c>
      <c r="D105" s="58">
        <v>33065.5</v>
      </c>
      <c r="E105" s="53">
        <v>0</v>
      </c>
      <c r="F105" s="53">
        <v>200</v>
      </c>
      <c r="G105" s="53">
        <v>0</v>
      </c>
      <c r="H105" s="53">
        <v>0</v>
      </c>
      <c r="I105" s="58">
        <f t="shared" si="106"/>
        <v>20097.699999999997</v>
      </c>
      <c r="J105" s="42">
        <v>1995.2</v>
      </c>
      <c r="K105" s="61">
        <v>2690</v>
      </c>
      <c r="L105" s="60">
        <v>6894.4</v>
      </c>
      <c r="M105" s="60">
        <f>8318.1+200</f>
        <v>8518.1</v>
      </c>
      <c r="N105" s="58">
        <f t="shared" si="90"/>
        <v>-12967.800000000003</v>
      </c>
      <c r="O105" s="53">
        <f t="shared" si="91"/>
        <v>1995.2</v>
      </c>
      <c r="P105" s="53">
        <f t="shared" si="92"/>
        <v>2490</v>
      </c>
      <c r="Q105" s="53">
        <f t="shared" si="93"/>
        <v>6894.4</v>
      </c>
      <c r="R105" s="53">
        <f t="shared" si="94"/>
        <v>8518.1</v>
      </c>
      <c r="S105" s="59">
        <f t="shared" si="104"/>
        <v>0.60781479185253506</v>
      </c>
      <c r="T105" s="59" t="s">
        <v>126</v>
      </c>
      <c r="U105" s="59" t="s">
        <v>126</v>
      </c>
      <c r="V105" s="59" t="s">
        <v>126</v>
      </c>
      <c r="W105" s="59" t="s">
        <v>126</v>
      </c>
      <c r="X105" s="160" t="s">
        <v>199</v>
      </c>
    </row>
    <row r="106" spans="1:24" s="54" customFormat="1" ht="36" customHeight="1" x14ac:dyDescent="0.25">
      <c r="A106" s="203"/>
      <c r="B106" s="225"/>
      <c r="C106" s="160" t="s">
        <v>20</v>
      </c>
      <c r="D106" s="58">
        <f>D103+D104+D105</f>
        <v>40099.800000000003</v>
      </c>
      <c r="E106" s="53">
        <f t="shared" ref="E106:M106" si="107">E103+E104+E105</f>
        <v>1881.1411499999999</v>
      </c>
      <c r="F106" s="53">
        <f t="shared" si="107"/>
        <v>200</v>
      </c>
      <c r="G106" s="53">
        <f t="shared" si="107"/>
        <v>0</v>
      </c>
      <c r="H106" s="53">
        <f t="shared" si="107"/>
        <v>0</v>
      </c>
      <c r="I106" s="58">
        <f t="shared" si="106"/>
        <v>29013.141149999999</v>
      </c>
      <c r="J106" s="53">
        <f t="shared" si="107"/>
        <v>2046.7</v>
      </c>
      <c r="K106" s="53">
        <f t="shared" si="107"/>
        <v>2953.6</v>
      </c>
      <c r="L106" s="53">
        <f t="shared" si="107"/>
        <v>7781.2</v>
      </c>
      <c r="M106" s="53">
        <f t="shared" si="107"/>
        <v>16231.641149999999</v>
      </c>
      <c r="N106" s="58">
        <f t="shared" si="90"/>
        <v>-11086.658850000003</v>
      </c>
      <c r="O106" s="53">
        <f t="shared" si="91"/>
        <v>165.55885000000012</v>
      </c>
      <c r="P106" s="53">
        <f t="shared" si="92"/>
        <v>2753.6</v>
      </c>
      <c r="Q106" s="53">
        <f t="shared" si="93"/>
        <v>7781.2</v>
      </c>
      <c r="R106" s="53">
        <f t="shared" si="94"/>
        <v>16231.641149999999</v>
      </c>
      <c r="S106" s="59">
        <f t="shared" si="104"/>
        <v>0.72352333802163593</v>
      </c>
      <c r="T106" s="62" t="s">
        <v>126</v>
      </c>
      <c r="U106" s="62" t="s">
        <v>126</v>
      </c>
      <c r="V106" s="62" t="s">
        <v>126</v>
      </c>
      <c r="W106" s="62" t="s">
        <v>126</v>
      </c>
      <c r="X106" s="160" t="s">
        <v>199</v>
      </c>
    </row>
    <row r="107" spans="1:24" s="54" customFormat="1" ht="36" customHeight="1" x14ac:dyDescent="0.25">
      <c r="A107" s="203"/>
      <c r="B107" s="225" t="s">
        <v>62</v>
      </c>
      <c r="C107" s="160" t="s">
        <v>1</v>
      </c>
      <c r="D107" s="58">
        <f>E107+F107+G107+H107</f>
        <v>0</v>
      </c>
      <c r="E107" s="53">
        <v>0</v>
      </c>
      <c r="F107" s="53">
        <v>0</v>
      </c>
      <c r="G107" s="53">
        <v>0</v>
      </c>
      <c r="H107" s="53">
        <v>0</v>
      </c>
      <c r="I107" s="58">
        <f t="shared" si="106"/>
        <v>0</v>
      </c>
      <c r="J107" s="53">
        <v>0</v>
      </c>
      <c r="K107" s="53">
        <v>0</v>
      </c>
      <c r="L107" s="53">
        <v>0</v>
      </c>
      <c r="M107" s="53">
        <v>0</v>
      </c>
      <c r="N107" s="58">
        <f t="shared" si="90"/>
        <v>0</v>
      </c>
      <c r="O107" s="53">
        <f t="shared" si="91"/>
        <v>0</v>
      </c>
      <c r="P107" s="53">
        <f t="shared" si="92"/>
        <v>0</v>
      </c>
      <c r="Q107" s="53">
        <f t="shared" si="93"/>
        <v>0</v>
      </c>
      <c r="R107" s="53">
        <f t="shared" si="94"/>
        <v>0</v>
      </c>
      <c r="S107" s="59" t="s">
        <v>126</v>
      </c>
      <c r="T107" s="59" t="s">
        <v>126</v>
      </c>
      <c r="U107" s="59" t="s">
        <v>126</v>
      </c>
      <c r="V107" s="59" t="s">
        <v>126</v>
      </c>
      <c r="W107" s="59" t="s">
        <v>126</v>
      </c>
      <c r="X107" s="36"/>
    </row>
    <row r="108" spans="1:24" s="54" customFormat="1" ht="36" customHeight="1" x14ac:dyDescent="0.25">
      <c r="A108" s="203"/>
      <c r="B108" s="225"/>
      <c r="C108" s="160" t="s">
        <v>2</v>
      </c>
      <c r="D108" s="58">
        <f t="shared" ref="D108" si="108">E108+F108+G108+H108</f>
        <v>0</v>
      </c>
      <c r="E108" s="53">
        <v>0</v>
      </c>
      <c r="F108" s="53">
        <v>0</v>
      </c>
      <c r="G108" s="53">
        <v>0</v>
      </c>
      <c r="H108" s="53">
        <v>0</v>
      </c>
      <c r="I108" s="58">
        <f t="shared" si="106"/>
        <v>0</v>
      </c>
      <c r="J108" s="53">
        <v>0</v>
      </c>
      <c r="K108" s="53">
        <v>0</v>
      </c>
      <c r="L108" s="53">
        <v>0</v>
      </c>
      <c r="M108" s="53">
        <v>0</v>
      </c>
      <c r="N108" s="58">
        <f t="shared" si="90"/>
        <v>0</v>
      </c>
      <c r="O108" s="53">
        <f t="shared" si="91"/>
        <v>0</v>
      </c>
      <c r="P108" s="53">
        <f t="shared" si="92"/>
        <v>0</v>
      </c>
      <c r="Q108" s="53">
        <f t="shared" si="93"/>
        <v>0</v>
      </c>
      <c r="R108" s="53">
        <f t="shared" si="94"/>
        <v>0</v>
      </c>
      <c r="S108" s="59" t="s">
        <v>126</v>
      </c>
      <c r="T108" s="59" t="s">
        <v>126</v>
      </c>
      <c r="U108" s="59" t="s">
        <v>126</v>
      </c>
      <c r="V108" s="59" t="s">
        <v>126</v>
      </c>
      <c r="W108" s="59" t="s">
        <v>126</v>
      </c>
      <c r="X108" s="139"/>
    </row>
    <row r="109" spans="1:24" s="54" customFormat="1" ht="36" customHeight="1" x14ac:dyDescent="0.25">
      <c r="A109" s="203"/>
      <c r="B109" s="225"/>
      <c r="C109" s="160" t="s">
        <v>4</v>
      </c>
      <c r="D109" s="58">
        <v>2153.8000000000002</v>
      </c>
      <c r="E109" s="53">
        <v>0</v>
      </c>
      <c r="F109" s="53">
        <v>0</v>
      </c>
      <c r="G109" s="53">
        <v>0</v>
      </c>
      <c r="H109" s="53">
        <v>0</v>
      </c>
      <c r="I109" s="58">
        <f t="shared" si="106"/>
        <v>2070.1999999999998</v>
      </c>
      <c r="J109" s="42">
        <v>700.8</v>
      </c>
      <c r="K109" s="60">
        <v>439.4</v>
      </c>
      <c r="L109" s="53">
        <v>0</v>
      </c>
      <c r="M109" s="60">
        <v>930</v>
      </c>
      <c r="N109" s="58">
        <f t="shared" si="90"/>
        <v>-83.600000000000364</v>
      </c>
      <c r="O109" s="53">
        <f t="shared" si="91"/>
        <v>700.8</v>
      </c>
      <c r="P109" s="53">
        <f t="shared" si="92"/>
        <v>439.4</v>
      </c>
      <c r="Q109" s="53">
        <f t="shared" si="93"/>
        <v>0</v>
      </c>
      <c r="R109" s="53">
        <f t="shared" si="94"/>
        <v>930</v>
      </c>
      <c r="S109" s="59">
        <f t="shared" si="104"/>
        <v>0.961184882533197</v>
      </c>
      <c r="T109" s="59" t="s">
        <v>126</v>
      </c>
      <c r="U109" s="59" t="s">
        <v>126</v>
      </c>
      <c r="V109" s="59" t="s">
        <v>126</v>
      </c>
      <c r="W109" s="59" t="s">
        <v>126</v>
      </c>
      <c r="X109" s="53"/>
    </row>
    <row r="110" spans="1:24" s="54" customFormat="1" ht="36" customHeight="1" x14ac:dyDescent="0.25">
      <c r="A110" s="203"/>
      <c r="B110" s="225"/>
      <c r="C110" s="160" t="s">
        <v>20</v>
      </c>
      <c r="D110" s="58">
        <f>D107+D108+D109</f>
        <v>2153.8000000000002</v>
      </c>
      <c r="E110" s="53">
        <f t="shared" ref="E110:M110" si="109">E107+E108+E109</f>
        <v>0</v>
      </c>
      <c r="F110" s="53">
        <f t="shared" si="109"/>
        <v>0</v>
      </c>
      <c r="G110" s="53">
        <f t="shared" si="109"/>
        <v>0</v>
      </c>
      <c r="H110" s="53">
        <f t="shared" si="109"/>
        <v>0</v>
      </c>
      <c r="I110" s="58">
        <f t="shared" si="106"/>
        <v>2070.1999999999998</v>
      </c>
      <c r="J110" s="53">
        <f t="shared" si="109"/>
        <v>700.8</v>
      </c>
      <c r="K110" s="53">
        <f t="shared" si="109"/>
        <v>439.4</v>
      </c>
      <c r="L110" s="53">
        <f t="shared" si="109"/>
        <v>0</v>
      </c>
      <c r="M110" s="53">
        <f t="shared" si="109"/>
        <v>930</v>
      </c>
      <c r="N110" s="58">
        <f t="shared" si="90"/>
        <v>-83.600000000000364</v>
      </c>
      <c r="O110" s="53">
        <f t="shared" si="91"/>
        <v>700.8</v>
      </c>
      <c r="P110" s="53">
        <f t="shared" si="92"/>
        <v>439.4</v>
      </c>
      <c r="Q110" s="53">
        <f t="shared" si="93"/>
        <v>0</v>
      </c>
      <c r="R110" s="53">
        <f t="shared" si="94"/>
        <v>930</v>
      </c>
      <c r="S110" s="59">
        <f t="shared" si="104"/>
        <v>0.961184882533197</v>
      </c>
      <c r="T110" s="62" t="s">
        <v>126</v>
      </c>
      <c r="U110" s="62" t="s">
        <v>126</v>
      </c>
      <c r="V110" s="62" t="s">
        <v>126</v>
      </c>
      <c r="W110" s="62" t="s">
        <v>126</v>
      </c>
      <c r="X110" s="36"/>
    </row>
    <row r="111" spans="1:24" s="54" customFormat="1" ht="36" customHeight="1" x14ac:dyDescent="0.25">
      <c r="A111" s="203"/>
      <c r="B111" s="225" t="s">
        <v>63</v>
      </c>
      <c r="C111" s="160" t="s">
        <v>1</v>
      </c>
      <c r="D111" s="58">
        <f>E111+F111+G111+H111</f>
        <v>0</v>
      </c>
      <c r="E111" s="53">
        <v>0</v>
      </c>
      <c r="F111" s="53">
        <v>0</v>
      </c>
      <c r="G111" s="53">
        <v>0</v>
      </c>
      <c r="H111" s="53">
        <v>0</v>
      </c>
      <c r="I111" s="58">
        <f t="shared" si="106"/>
        <v>0</v>
      </c>
      <c r="J111" s="53">
        <v>0</v>
      </c>
      <c r="K111" s="53">
        <v>0</v>
      </c>
      <c r="L111" s="53">
        <v>0</v>
      </c>
      <c r="M111" s="53">
        <v>0</v>
      </c>
      <c r="N111" s="58">
        <f t="shared" si="90"/>
        <v>0</v>
      </c>
      <c r="O111" s="53">
        <f t="shared" si="91"/>
        <v>0</v>
      </c>
      <c r="P111" s="53">
        <f t="shared" si="92"/>
        <v>0</v>
      </c>
      <c r="Q111" s="53">
        <f t="shared" si="93"/>
        <v>0</v>
      </c>
      <c r="R111" s="53">
        <f t="shared" si="94"/>
        <v>0</v>
      </c>
      <c r="S111" s="59" t="s">
        <v>126</v>
      </c>
      <c r="T111" s="59" t="s">
        <v>126</v>
      </c>
      <c r="U111" s="59" t="s">
        <v>126</v>
      </c>
      <c r="V111" s="59" t="s">
        <v>126</v>
      </c>
      <c r="W111" s="59" t="s">
        <v>126</v>
      </c>
      <c r="X111" s="36"/>
    </row>
    <row r="112" spans="1:24" s="54" customFormat="1" ht="36" customHeight="1" x14ac:dyDescent="0.25">
      <c r="A112" s="203"/>
      <c r="B112" s="225"/>
      <c r="C112" s="160" t="s">
        <v>2</v>
      </c>
      <c r="D112" s="58">
        <v>1302.8</v>
      </c>
      <c r="E112" s="53">
        <v>0</v>
      </c>
      <c r="F112" s="53">
        <v>0</v>
      </c>
      <c r="G112" s="53">
        <v>0</v>
      </c>
      <c r="H112" s="53">
        <v>0</v>
      </c>
      <c r="I112" s="58">
        <f t="shared" si="106"/>
        <v>1300.5999999999999</v>
      </c>
      <c r="J112" s="53">
        <v>203.9</v>
      </c>
      <c r="K112" s="53">
        <v>67.900000000000006</v>
      </c>
      <c r="L112" s="53">
        <v>435.5</v>
      </c>
      <c r="M112" s="53">
        <v>593.29999999999995</v>
      </c>
      <c r="N112" s="58">
        <f t="shared" si="90"/>
        <v>-2.2000000000000455</v>
      </c>
      <c r="O112" s="53">
        <f t="shared" si="91"/>
        <v>203.9</v>
      </c>
      <c r="P112" s="53">
        <f t="shared" si="92"/>
        <v>67.900000000000006</v>
      </c>
      <c r="Q112" s="53">
        <f t="shared" si="93"/>
        <v>435.5</v>
      </c>
      <c r="R112" s="53">
        <f t="shared" si="94"/>
        <v>593.29999999999995</v>
      </c>
      <c r="S112" s="59">
        <f t="shared" si="104"/>
        <v>0.99831132944427381</v>
      </c>
      <c r="T112" s="59" t="s">
        <v>126</v>
      </c>
      <c r="U112" s="59" t="s">
        <v>126</v>
      </c>
      <c r="V112" s="59" t="s">
        <v>126</v>
      </c>
      <c r="W112" s="59" t="s">
        <v>126</v>
      </c>
      <c r="X112" s="36"/>
    </row>
    <row r="113" spans="1:24" s="54" customFormat="1" ht="36" customHeight="1" x14ac:dyDescent="0.25">
      <c r="A113" s="203"/>
      <c r="B113" s="225"/>
      <c r="C113" s="160" t="s">
        <v>4</v>
      </c>
      <c r="D113" s="58">
        <v>9299.2999999999993</v>
      </c>
      <c r="E113" s="53">
        <v>0</v>
      </c>
      <c r="F113" s="53">
        <v>0</v>
      </c>
      <c r="G113" s="53">
        <v>0</v>
      </c>
      <c r="H113" s="53">
        <v>0</v>
      </c>
      <c r="I113" s="58">
        <f t="shared" si="106"/>
        <v>9299.2000000000007</v>
      </c>
      <c r="J113" s="53">
        <v>1828.5</v>
      </c>
      <c r="K113" s="53">
        <v>2219</v>
      </c>
      <c r="L113" s="53">
        <v>2116.6999999999998</v>
      </c>
      <c r="M113" s="53">
        <v>3135</v>
      </c>
      <c r="N113" s="58">
        <f t="shared" si="90"/>
        <v>-9.9999999998544808E-2</v>
      </c>
      <c r="O113" s="53">
        <f t="shared" si="91"/>
        <v>1828.5</v>
      </c>
      <c r="P113" s="53">
        <f t="shared" si="92"/>
        <v>2219</v>
      </c>
      <c r="Q113" s="53">
        <f t="shared" si="93"/>
        <v>2116.6999999999998</v>
      </c>
      <c r="R113" s="53">
        <f t="shared" si="94"/>
        <v>3135</v>
      </c>
      <c r="S113" s="59">
        <f t="shared" si="104"/>
        <v>0.99998924650242504</v>
      </c>
      <c r="T113" s="59" t="s">
        <v>126</v>
      </c>
      <c r="U113" s="59" t="s">
        <v>126</v>
      </c>
      <c r="V113" s="59" t="s">
        <v>126</v>
      </c>
      <c r="W113" s="59" t="s">
        <v>126</v>
      </c>
      <c r="X113" s="36"/>
    </row>
    <row r="114" spans="1:24" s="54" customFormat="1" ht="36" customHeight="1" x14ac:dyDescent="0.25">
      <c r="A114" s="203"/>
      <c r="B114" s="225"/>
      <c r="C114" s="160" t="s">
        <v>20</v>
      </c>
      <c r="D114" s="58">
        <f>D111+D112+D113</f>
        <v>10602.099999999999</v>
      </c>
      <c r="E114" s="53">
        <f t="shared" ref="E114:M114" si="110">E111+E112+E113</f>
        <v>0</v>
      </c>
      <c r="F114" s="53">
        <f t="shared" si="110"/>
        <v>0</v>
      </c>
      <c r="G114" s="53">
        <f t="shared" si="110"/>
        <v>0</v>
      </c>
      <c r="H114" s="53">
        <f t="shared" si="110"/>
        <v>0</v>
      </c>
      <c r="I114" s="58">
        <f t="shared" si="106"/>
        <v>10599.8</v>
      </c>
      <c r="J114" s="53">
        <f t="shared" si="110"/>
        <v>2032.4</v>
      </c>
      <c r="K114" s="53">
        <f t="shared" si="110"/>
        <v>2286.9</v>
      </c>
      <c r="L114" s="53">
        <f t="shared" si="110"/>
        <v>2552.1999999999998</v>
      </c>
      <c r="M114" s="53">
        <f t="shared" si="110"/>
        <v>3728.3</v>
      </c>
      <c r="N114" s="58">
        <f t="shared" si="90"/>
        <v>-2.2999999999992724</v>
      </c>
      <c r="O114" s="53">
        <f t="shared" si="91"/>
        <v>2032.4</v>
      </c>
      <c r="P114" s="53">
        <f t="shared" si="92"/>
        <v>2286.9</v>
      </c>
      <c r="Q114" s="53">
        <f t="shared" si="93"/>
        <v>2552.1999999999998</v>
      </c>
      <c r="R114" s="53">
        <f t="shared" si="94"/>
        <v>3728.3</v>
      </c>
      <c r="S114" s="59">
        <f t="shared" si="104"/>
        <v>0.99978306184623811</v>
      </c>
      <c r="T114" s="62" t="s">
        <v>126</v>
      </c>
      <c r="U114" s="62" t="s">
        <v>126</v>
      </c>
      <c r="V114" s="62" t="s">
        <v>126</v>
      </c>
      <c r="W114" s="62" t="s">
        <v>126</v>
      </c>
      <c r="X114" s="36"/>
    </row>
    <row r="115" spans="1:24" ht="36" customHeight="1" x14ac:dyDescent="0.25">
      <c r="A115" s="203">
        <v>7</v>
      </c>
      <c r="B115" s="204" t="s">
        <v>33</v>
      </c>
      <c r="C115" s="158" t="s">
        <v>1</v>
      </c>
      <c r="D115" s="15">
        <f t="shared" ref="D115:D119" si="111">E115+F115+G115+H115</f>
        <v>0</v>
      </c>
      <c r="E115" s="17">
        <f>E119</f>
        <v>0</v>
      </c>
      <c r="F115" s="17">
        <f>F119</f>
        <v>0</v>
      </c>
      <c r="G115" s="17">
        <f>G119</f>
        <v>0</v>
      </c>
      <c r="H115" s="17">
        <f>H119</f>
        <v>0</v>
      </c>
      <c r="I115" s="15">
        <f t="shared" si="106"/>
        <v>0</v>
      </c>
      <c r="J115" s="17">
        <f>J119</f>
        <v>0</v>
      </c>
      <c r="K115" s="17">
        <f>K119</f>
        <v>0</v>
      </c>
      <c r="L115" s="17">
        <f>L119</f>
        <v>0</v>
      </c>
      <c r="M115" s="17">
        <f>M119</f>
        <v>0</v>
      </c>
      <c r="N115" s="15">
        <f t="shared" si="90"/>
        <v>0</v>
      </c>
      <c r="O115" s="17">
        <f t="shared" si="91"/>
        <v>0</v>
      </c>
      <c r="P115" s="17">
        <f t="shared" si="92"/>
        <v>0</v>
      </c>
      <c r="Q115" s="17">
        <f t="shared" si="93"/>
        <v>0</v>
      </c>
      <c r="R115" s="17">
        <f t="shared" si="94"/>
        <v>0</v>
      </c>
      <c r="S115" s="18" t="s">
        <v>126</v>
      </c>
      <c r="T115" s="20" t="s">
        <v>126</v>
      </c>
      <c r="U115" s="20" t="s">
        <v>126</v>
      </c>
      <c r="V115" s="20" t="s">
        <v>126</v>
      </c>
      <c r="W115" s="20" t="s">
        <v>126</v>
      </c>
      <c r="X115" s="20"/>
    </row>
    <row r="116" spans="1:24" ht="36" customHeight="1" x14ac:dyDescent="0.25">
      <c r="A116" s="203"/>
      <c r="B116" s="204"/>
      <c r="C116" s="158" t="s">
        <v>2</v>
      </c>
      <c r="D116" s="15">
        <f>D120</f>
        <v>561.41700000000003</v>
      </c>
      <c r="E116" s="17">
        <f t="shared" ref="E116:H118" si="112">E120</f>
        <v>0</v>
      </c>
      <c r="F116" s="17">
        <f t="shared" si="112"/>
        <v>0</v>
      </c>
      <c r="G116" s="17">
        <f t="shared" si="112"/>
        <v>0</v>
      </c>
      <c r="H116" s="17">
        <f t="shared" si="112"/>
        <v>561.41700000000003</v>
      </c>
      <c r="I116" s="15">
        <f t="shared" si="106"/>
        <v>561.39499999999998</v>
      </c>
      <c r="J116" s="17">
        <f t="shared" ref="J116:M118" si="113">J120</f>
        <v>10.984999999999999</v>
      </c>
      <c r="K116" s="17">
        <f t="shared" si="113"/>
        <v>65.003</v>
      </c>
      <c r="L116" s="17">
        <f t="shared" si="113"/>
        <v>240.928</v>
      </c>
      <c r="M116" s="17">
        <f t="shared" si="113"/>
        <v>244.47899999999998</v>
      </c>
      <c r="N116" s="15">
        <f t="shared" si="90"/>
        <v>-2.2000000000048203E-2</v>
      </c>
      <c r="O116" s="17">
        <f t="shared" si="91"/>
        <v>10.984999999999999</v>
      </c>
      <c r="P116" s="17">
        <f t="shared" si="92"/>
        <v>65.003</v>
      </c>
      <c r="Q116" s="17">
        <f t="shared" si="93"/>
        <v>240.928</v>
      </c>
      <c r="R116" s="17">
        <f t="shared" si="94"/>
        <v>-316.93800000000005</v>
      </c>
      <c r="S116" s="18">
        <f t="shared" ref="S116:S122" si="114">I116/D116</f>
        <v>0.99996081344170185</v>
      </c>
      <c r="T116" s="20" t="s">
        <v>126</v>
      </c>
      <c r="U116" s="20" t="s">
        <v>126</v>
      </c>
      <c r="V116" s="20" t="s">
        <v>126</v>
      </c>
      <c r="W116" s="20" t="s">
        <v>126</v>
      </c>
      <c r="X116" s="20"/>
    </row>
    <row r="117" spans="1:24" ht="36" customHeight="1" x14ac:dyDescent="0.25">
      <c r="A117" s="203"/>
      <c r="B117" s="204"/>
      <c r="C117" s="158" t="s">
        <v>4</v>
      </c>
      <c r="D117" s="15">
        <f>D121</f>
        <v>2888.9690000000001</v>
      </c>
      <c r="E117" s="17">
        <f t="shared" si="112"/>
        <v>0</v>
      </c>
      <c r="F117" s="17">
        <f t="shared" si="112"/>
        <v>0</v>
      </c>
      <c r="G117" s="17">
        <f t="shared" si="112"/>
        <v>0</v>
      </c>
      <c r="H117" s="17">
        <f t="shared" si="112"/>
        <v>2888.9690000000001</v>
      </c>
      <c r="I117" s="15">
        <f t="shared" si="106"/>
        <v>2784.1109999999999</v>
      </c>
      <c r="J117" s="17">
        <f t="shared" si="113"/>
        <v>473.15800000000002</v>
      </c>
      <c r="K117" s="17">
        <f t="shared" si="113"/>
        <v>681.62099999999998</v>
      </c>
      <c r="L117" s="17">
        <f t="shared" si="113"/>
        <v>669.07</v>
      </c>
      <c r="M117" s="17">
        <f t="shared" si="113"/>
        <v>960.26199999999983</v>
      </c>
      <c r="N117" s="15">
        <f t="shared" si="90"/>
        <v>-104.85800000000017</v>
      </c>
      <c r="O117" s="17">
        <f t="shared" si="91"/>
        <v>473.15800000000002</v>
      </c>
      <c r="P117" s="17">
        <f t="shared" si="92"/>
        <v>681.62099999999998</v>
      </c>
      <c r="Q117" s="17">
        <f t="shared" si="93"/>
        <v>669.07</v>
      </c>
      <c r="R117" s="17">
        <f t="shared" si="94"/>
        <v>-1928.7070000000003</v>
      </c>
      <c r="S117" s="18">
        <f t="shared" si="114"/>
        <v>0.96370400651581922</v>
      </c>
      <c r="T117" s="20" t="s">
        <v>126</v>
      </c>
      <c r="U117" s="20" t="s">
        <v>126</v>
      </c>
      <c r="V117" s="20" t="s">
        <v>126</v>
      </c>
      <c r="W117" s="20" t="s">
        <v>126</v>
      </c>
      <c r="X117" s="20"/>
    </row>
    <row r="118" spans="1:24" ht="36" customHeight="1" x14ac:dyDescent="0.25">
      <c r="A118" s="203"/>
      <c r="B118" s="204"/>
      <c r="C118" s="158" t="s">
        <v>21</v>
      </c>
      <c r="D118" s="15">
        <f>D122</f>
        <v>3450.386</v>
      </c>
      <c r="E118" s="17">
        <f t="shared" si="112"/>
        <v>0</v>
      </c>
      <c r="F118" s="17">
        <f t="shared" si="112"/>
        <v>0</v>
      </c>
      <c r="G118" s="17">
        <f t="shared" si="112"/>
        <v>0</v>
      </c>
      <c r="H118" s="17">
        <f t="shared" si="112"/>
        <v>3450.386</v>
      </c>
      <c r="I118" s="15">
        <f>J118+K118+L118+M118</f>
        <v>3345.5060000000003</v>
      </c>
      <c r="J118" s="17">
        <f t="shared" si="113"/>
        <v>484.14300000000003</v>
      </c>
      <c r="K118" s="17">
        <f t="shared" si="113"/>
        <v>746.62400000000002</v>
      </c>
      <c r="L118" s="17">
        <f t="shared" si="113"/>
        <v>909.99800000000005</v>
      </c>
      <c r="M118" s="17">
        <f>M117+M116+M115</f>
        <v>1204.7409999999998</v>
      </c>
      <c r="N118" s="15">
        <f t="shared" si="90"/>
        <v>-104.87999999999965</v>
      </c>
      <c r="O118" s="17">
        <f t="shared" si="91"/>
        <v>484.14300000000003</v>
      </c>
      <c r="P118" s="17">
        <f t="shared" si="92"/>
        <v>746.62400000000002</v>
      </c>
      <c r="Q118" s="17">
        <f t="shared" si="93"/>
        <v>909.99800000000005</v>
      </c>
      <c r="R118" s="17">
        <f t="shared" si="94"/>
        <v>-2245.6450000000004</v>
      </c>
      <c r="S118" s="18">
        <f t="shared" si="114"/>
        <v>0.96960340089485653</v>
      </c>
      <c r="T118" s="20" t="s">
        <v>126</v>
      </c>
      <c r="U118" s="20" t="s">
        <v>126</v>
      </c>
      <c r="V118" s="20" t="s">
        <v>126</v>
      </c>
      <c r="W118" s="20" t="s">
        <v>126</v>
      </c>
      <c r="X118" s="20"/>
    </row>
    <row r="119" spans="1:24" ht="36" customHeight="1" x14ac:dyDescent="0.25">
      <c r="A119" s="203"/>
      <c r="B119" s="204" t="s">
        <v>64</v>
      </c>
      <c r="C119" s="158" t="s">
        <v>1</v>
      </c>
      <c r="D119" s="15">
        <f t="shared" si="111"/>
        <v>0</v>
      </c>
      <c r="E119" s="17">
        <v>0</v>
      </c>
      <c r="F119" s="17">
        <v>0</v>
      </c>
      <c r="G119" s="17">
        <v>0</v>
      </c>
      <c r="H119" s="53">
        <v>0</v>
      </c>
      <c r="I119" s="15">
        <f t="shared" si="106"/>
        <v>0</v>
      </c>
      <c r="J119" s="17">
        <v>0</v>
      </c>
      <c r="K119" s="17">
        <v>0</v>
      </c>
      <c r="L119" s="17">
        <v>0</v>
      </c>
      <c r="M119" s="17">
        <v>0</v>
      </c>
      <c r="N119" s="15">
        <f t="shared" si="90"/>
        <v>0</v>
      </c>
      <c r="O119" s="15">
        <f t="shared" si="91"/>
        <v>0</v>
      </c>
      <c r="P119" s="15">
        <f t="shared" si="92"/>
        <v>0</v>
      </c>
      <c r="Q119" s="15">
        <f t="shared" si="93"/>
        <v>0</v>
      </c>
      <c r="R119" s="15">
        <f t="shared" si="94"/>
        <v>0</v>
      </c>
      <c r="S119" s="18">
        <v>0</v>
      </c>
      <c r="T119" s="20" t="s">
        <v>126</v>
      </c>
      <c r="U119" s="20" t="s">
        <v>126</v>
      </c>
      <c r="V119" s="20" t="s">
        <v>126</v>
      </c>
      <c r="W119" s="20" t="s">
        <v>126</v>
      </c>
      <c r="X119" s="20"/>
    </row>
    <row r="120" spans="1:24" ht="36" customHeight="1" x14ac:dyDescent="0.25">
      <c r="A120" s="203"/>
      <c r="B120" s="204"/>
      <c r="C120" s="158" t="s">
        <v>2</v>
      </c>
      <c r="D120" s="15">
        <f>SUM(E120:H120)</f>
        <v>561.41700000000003</v>
      </c>
      <c r="E120" s="17">
        <v>0</v>
      </c>
      <c r="F120" s="17">
        <v>0</v>
      </c>
      <c r="G120" s="17">
        <v>0</v>
      </c>
      <c r="H120" s="53">
        <v>561.41700000000003</v>
      </c>
      <c r="I120" s="15">
        <v>561.39499999999998</v>
      </c>
      <c r="J120" s="17">
        <v>10.984999999999999</v>
      </c>
      <c r="K120" s="17">
        <v>65.003</v>
      </c>
      <c r="L120" s="17">
        <v>240.928</v>
      </c>
      <c r="M120" s="17">
        <f>I120-J120-K120-L120</f>
        <v>244.47899999999998</v>
      </c>
      <c r="N120" s="15">
        <f t="shared" si="90"/>
        <v>-2.2000000000048203E-2</v>
      </c>
      <c r="O120" s="17">
        <f t="shared" si="91"/>
        <v>10.984999999999999</v>
      </c>
      <c r="P120" s="17">
        <f t="shared" si="92"/>
        <v>65.003</v>
      </c>
      <c r="Q120" s="17">
        <f t="shared" si="93"/>
        <v>240.928</v>
      </c>
      <c r="R120" s="17">
        <f t="shared" si="94"/>
        <v>-316.93800000000005</v>
      </c>
      <c r="S120" s="18">
        <f t="shared" si="114"/>
        <v>0.99996081344170185</v>
      </c>
      <c r="T120" s="20" t="s">
        <v>126</v>
      </c>
      <c r="U120" s="20" t="s">
        <v>126</v>
      </c>
      <c r="V120" s="20" t="s">
        <v>126</v>
      </c>
      <c r="W120" s="20" t="s">
        <v>126</v>
      </c>
      <c r="X120" s="20"/>
    </row>
    <row r="121" spans="1:24" ht="36" customHeight="1" x14ac:dyDescent="0.25">
      <c r="A121" s="203"/>
      <c r="B121" s="204"/>
      <c r="C121" s="158" t="s">
        <v>4</v>
      </c>
      <c r="D121" s="15">
        <f>SUM(E121:H121)</f>
        <v>2888.9690000000001</v>
      </c>
      <c r="E121" s="17">
        <v>0</v>
      </c>
      <c r="F121" s="17">
        <v>0</v>
      </c>
      <c r="G121" s="17">
        <v>0</v>
      </c>
      <c r="H121" s="53">
        <v>2888.9690000000001</v>
      </c>
      <c r="I121" s="15">
        <f>3345.506-I120</f>
        <v>2784.1109999999999</v>
      </c>
      <c r="J121" s="17">
        <v>473.15800000000002</v>
      </c>
      <c r="K121" s="17">
        <v>681.62099999999998</v>
      </c>
      <c r="L121" s="17">
        <v>669.07</v>
      </c>
      <c r="M121" s="17">
        <f>I121-J121-K121-L121</f>
        <v>960.26199999999983</v>
      </c>
      <c r="N121" s="15">
        <f t="shared" si="90"/>
        <v>-104.85800000000017</v>
      </c>
      <c r="O121" s="17">
        <f t="shared" si="91"/>
        <v>473.15800000000002</v>
      </c>
      <c r="P121" s="17">
        <f t="shared" si="92"/>
        <v>681.62099999999998</v>
      </c>
      <c r="Q121" s="17">
        <f t="shared" si="93"/>
        <v>669.07</v>
      </c>
      <c r="R121" s="17">
        <f t="shared" si="94"/>
        <v>-1928.7070000000003</v>
      </c>
      <c r="S121" s="18">
        <f t="shared" si="114"/>
        <v>0.96370400651581922</v>
      </c>
      <c r="T121" s="20" t="s">
        <v>126</v>
      </c>
      <c r="U121" s="20" t="s">
        <v>126</v>
      </c>
      <c r="V121" s="20" t="s">
        <v>126</v>
      </c>
      <c r="W121" s="20" t="s">
        <v>126</v>
      </c>
      <c r="X121" s="20"/>
    </row>
    <row r="122" spans="1:24" ht="36" customHeight="1" x14ac:dyDescent="0.25">
      <c r="A122" s="203"/>
      <c r="B122" s="204"/>
      <c r="C122" s="158" t="s">
        <v>20</v>
      </c>
      <c r="D122" s="15">
        <f>D119+D120+D121</f>
        <v>3450.386</v>
      </c>
      <c r="E122" s="17">
        <f>E119+E120+E121</f>
        <v>0</v>
      </c>
      <c r="F122" s="17">
        <f t="shared" ref="F122:I122" si="115">F119+F120+F121</f>
        <v>0</v>
      </c>
      <c r="G122" s="17">
        <f t="shared" si="115"/>
        <v>0</v>
      </c>
      <c r="H122" s="53">
        <f t="shared" si="115"/>
        <v>3450.386</v>
      </c>
      <c r="I122" s="15">
        <f t="shared" si="115"/>
        <v>3345.5059999999999</v>
      </c>
      <c r="J122" s="17">
        <f>J119+J120+J121</f>
        <v>484.14300000000003</v>
      </c>
      <c r="K122" s="17">
        <f t="shared" ref="K122:M122" si="116">K119+K120+K121</f>
        <v>746.62400000000002</v>
      </c>
      <c r="L122" s="17">
        <f t="shared" si="116"/>
        <v>909.99800000000005</v>
      </c>
      <c r="M122" s="17">
        <f t="shared" si="116"/>
        <v>1204.7409999999998</v>
      </c>
      <c r="N122" s="15">
        <f t="shared" si="90"/>
        <v>-104.88000000000011</v>
      </c>
      <c r="O122" s="17">
        <f t="shared" si="91"/>
        <v>484.14300000000003</v>
      </c>
      <c r="P122" s="17">
        <f t="shared" si="92"/>
        <v>746.62400000000002</v>
      </c>
      <c r="Q122" s="17">
        <f t="shared" si="93"/>
        <v>909.99800000000005</v>
      </c>
      <c r="R122" s="17">
        <f t="shared" si="94"/>
        <v>-2245.6450000000004</v>
      </c>
      <c r="S122" s="18">
        <f t="shared" si="114"/>
        <v>0.96960340089485642</v>
      </c>
      <c r="T122" s="20" t="s">
        <v>126</v>
      </c>
      <c r="U122" s="20" t="s">
        <v>126</v>
      </c>
      <c r="V122" s="20" t="s">
        <v>126</v>
      </c>
      <c r="W122" s="20" t="s">
        <v>126</v>
      </c>
      <c r="X122" s="20"/>
    </row>
    <row r="123" spans="1:24" ht="36" customHeight="1" x14ac:dyDescent="0.25">
      <c r="A123" s="203">
        <v>8</v>
      </c>
      <c r="B123" s="204" t="s">
        <v>34</v>
      </c>
      <c r="C123" s="158" t="s">
        <v>1</v>
      </c>
      <c r="D123" s="15">
        <f t="shared" ref="D123:D129" si="117">E123+F123+G123+H123</f>
        <v>0</v>
      </c>
      <c r="E123" s="17">
        <f>E127+E131+E135</f>
        <v>0</v>
      </c>
      <c r="F123" s="17">
        <f>F127+F131+F135</f>
        <v>0</v>
      </c>
      <c r="G123" s="17">
        <f>G127+G131+G135</f>
        <v>0</v>
      </c>
      <c r="H123" s="17">
        <f>H127+H131+H135</f>
        <v>0</v>
      </c>
      <c r="I123" s="15">
        <f t="shared" ref="I123:I128" si="118">J123+K123+L123+M123</f>
        <v>0</v>
      </c>
      <c r="J123" s="17">
        <f>J127+J131+J135</f>
        <v>0</v>
      </c>
      <c r="K123" s="17">
        <f>K127+K131+K135</f>
        <v>0</v>
      </c>
      <c r="L123" s="17">
        <f>L127+L131+L135</f>
        <v>0</v>
      </c>
      <c r="M123" s="17">
        <f>M127+M131+M135</f>
        <v>0</v>
      </c>
      <c r="N123" s="15">
        <f t="shared" si="90"/>
        <v>0</v>
      </c>
      <c r="O123" s="17">
        <f t="shared" si="91"/>
        <v>0</v>
      </c>
      <c r="P123" s="17">
        <f t="shared" si="92"/>
        <v>0</v>
      </c>
      <c r="Q123" s="17">
        <f t="shared" si="93"/>
        <v>0</v>
      </c>
      <c r="R123" s="17">
        <f t="shared" si="94"/>
        <v>0</v>
      </c>
      <c r="S123" s="18" t="s">
        <v>126</v>
      </c>
      <c r="T123" s="20" t="s">
        <v>126</v>
      </c>
      <c r="U123" s="20" t="s">
        <v>126</v>
      </c>
      <c r="V123" s="20" t="s">
        <v>126</v>
      </c>
      <c r="W123" s="20" t="s">
        <v>126</v>
      </c>
      <c r="X123" s="194"/>
    </row>
    <row r="124" spans="1:24" ht="36" customHeight="1" x14ac:dyDescent="0.25">
      <c r="A124" s="203"/>
      <c r="B124" s="204"/>
      <c r="C124" s="158" t="s">
        <v>2</v>
      </c>
      <c r="D124" s="15">
        <f t="shared" si="117"/>
        <v>0</v>
      </c>
      <c r="E124" s="17">
        <f t="shared" ref="E124:H126" si="119">E128+E132+E136</f>
        <v>0</v>
      </c>
      <c r="F124" s="17">
        <f t="shared" si="119"/>
        <v>0</v>
      </c>
      <c r="G124" s="17">
        <f t="shared" si="119"/>
        <v>0</v>
      </c>
      <c r="H124" s="17">
        <f t="shared" si="119"/>
        <v>0</v>
      </c>
      <c r="I124" s="15">
        <f t="shared" si="118"/>
        <v>0</v>
      </c>
      <c r="J124" s="17">
        <f t="shared" ref="J124:M126" si="120">J128+J132+J136</f>
        <v>0</v>
      </c>
      <c r="K124" s="17">
        <f t="shared" si="120"/>
        <v>0</v>
      </c>
      <c r="L124" s="17">
        <f t="shared" si="120"/>
        <v>0</v>
      </c>
      <c r="M124" s="17">
        <f t="shared" si="120"/>
        <v>0</v>
      </c>
      <c r="N124" s="15">
        <f t="shared" si="90"/>
        <v>0</v>
      </c>
      <c r="O124" s="17">
        <f t="shared" si="91"/>
        <v>0</v>
      </c>
      <c r="P124" s="17">
        <f t="shared" si="92"/>
        <v>0</v>
      </c>
      <c r="Q124" s="17">
        <f t="shared" si="93"/>
        <v>0</v>
      </c>
      <c r="R124" s="17">
        <f t="shared" si="94"/>
        <v>0</v>
      </c>
      <c r="S124" s="18" t="s">
        <v>126</v>
      </c>
      <c r="T124" s="20" t="s">
        <v>126</v>
      </c>
      <c r="U124" s="20" t="s">
        <v>126</v>
      </c>
      <c r="V124" s="20" t="s">
        <v>126</v>
      </c>
      <c r="W124" s="20" t="s">
        <v>126</v>
      </c>
      <c r="X124" s="195"/>
    </row>
    <row r="125" spans="1:24" ht="36" customHeight="1" x14ac:dyDescent="0.25">
      <c r="A125" s="203"/>
      <c r="B125" s="204"/>
      <c r="C125" s="158" t="s">
        <v>4</v>
      </c>
      <c r="D125" s="15">
        <f t="shared" si="117"/>
        <v>5136.875</v>
      </c>
      <c r="E125" s="17">
        <f t="shared" si="119"/>
        <v>4565.6270000000004</v>
      </c>
      <c r="F125" s="17">
        <f t="shared" si="119"/>
        <v>571.24800000000005</v>
      </c>
      <c r="G125" s="17">
        <f t="shared" si="119"/>
        <v>0</v>
      </c>
      <c r="H125" s="17">
        <f t="shared" si="119"/>
        <v>0</v>
      </c>
      <c r="I125" s="15">
        <f t="shared" si="118"/>
        <v>4865.1270000000004</v>
      </c>
      <c r="J125" s="17">
        <f t="shared" si="120"/>
        <v>3381.62772</v>
      </c>
      <c r="K125" s="17">
        <f t="shared" si="120"/>
        <v>0</v>
      </c>
      <c r="L125" s="17">
        <f t="shared" si="120"/>
        <v>0</v>
      </c>
      <c r="M125" s="17">
        <f t="shared" si="120"/>
        <v>1483.49928</v>
      </c>
      <c r="N125" s="15">
        <f t="shared" si="90"/>
        <v>-271.74799999999959</v>
      </c>
      <c r="O125" s="17">
        <f t="shared" si="91"/>
        <v>-1183.9992800000005</v>
      </c>
      <c r="P125" s="17">
        <f t="shared" si="92"/>
        <v>-571.24800000000005</v>
      </c>
      <c r="Q125" s="17">
        <f t="shared" si="93"/>
        <v>0</v>
      </c>
      <c r="R125" s="17">
        <f t="shared" si="94"/>
        <v>1483.49928</v>
      </c>
      <c r="S125" s="18">
        <f t="shared" ref="S125:U134" si="121">I125/D125</f>
        <v>0.94709857646915696</v>
      </c>
      <c r="T125" s="20">
        <f t="shared" si="121"/>
        <v>0.74067104474369017</v>
      </c>
      <c r="U125" s="20">
        <f t="shared" si="121"/>
        <v>0</v>
      </c>
      <c r="V125" s="20" t="s">
        <v>126</v>
      </c>
      <c r="W125" s="20" t="s">
        <v>126</v>
      </c>
      <c r="X125" s="195"/>
    </row>
    <row r="126" spans="1:24" ht="36" customHeight="1" x14ac:dyDescent="0.25">
      <c r="A126" s="203"/>
      <c r="B126" s="204"/>
      <c r="C126" s="158" t="s">
        <v>21</v>
      </c>
      <c r="D126" s="15">
        <f t="shared" si="117"/>
        <v>5136.875</v>
      </c>
      <c r="E126" s="17">
        <f t="shared" si="119"/>
        <v>4565.6270000000004</v>
      </c>
      <c r="F126" s="17">
        <f t="shared" si="119"/>
        <v>571.24800000000005</v>
      </c>
      <c r="G126" s="17">
        <f t="shared" si="119"/>
        <v>0</v>
      </c>
      <c r="H126" s="17">
        <f t="shared" si="119"/>
        <v>0</v>
      </c>
      <c r="I126" s="15">
        <f t="shared" si="118"/>
        <v>4865.1270000000004</v>
      </c>
      <c r="J126" s="17">
        <f t="shared" si="120"/>
        <v>3381.62772</v>
      </c>
      <c r="K126" s="17">
        <f t="shared" si="120"/>
        <v>0</v>
      </c>
      <c r="L126" s="17">
        <f t="shared" si="120"/>
        <v>0</v>
      </c>
      <c r="M126" s="17">
        <f t="shared" si="120"/>
        <v>1483.49928</v>
      </c>
      <c r="N126" s="15">
        <f t="shared" si="90"/>
        <v>-271.74799999999959</v>
      </c>
      <c r="O126" s="17">
        <f t="shared" si="91"/>
        <v>-1183.9992800000005</v>
      </c>
      <c r="P126" s="17">
        <f t="shared" si="92"/>
        <v>-571.24800000000005</v>
      </c>
      <c r="Q126" s="17">
        <f t="shared" si="93"/>
        <v>0</v>
      </c>
      <c r="R126" s="17">
        <f t="shared" si="94"/>
        <v>1483.49928</v>
      </c>
      <c r="S126" s="18">
        <f t="shared" si="121"/>
        <v>0.94709857646915696</v>
      </c>
      <c r="T126" s="20">
        <f t="shared" si="121"/>
        <v>0.74067104474369017</v>
      </c>
      <c r="U126" s="20">
        <f t="shared" si="121"/>
        <v>0</v>
      </c>
      <c r="V126" s="20" t="s">
        <v>126</v>
      </c>
      <c r="W126" s="20" t="s">
        <v>126</v>
      </c>
      <c r="X126" s="195"/>
    </row>
    <row r="127" spans="1:24" ht="36" customHeight="1" x14ac:dyDescent="0.25">
      <c r="A127" s="203"/>
      <c r="B127" s="204" t="s">
        <v>65</v>
      </c>
      <c r="C127" s="158" t="s">
        <v>1</v>
      </c>
      <c r="D127" s="15">
        <f t="shared" si="117"/>
        <v>0</v>
      </c>
      <c r="E127" s="57">
        <v>0</v>
      </c>
      <c r="F127" s="17">
        <v>0</v>
      </c>
      <c r="G127" s="16">
        <v>0</v>
      </c>
      <c r="H127" s="16">
        <v>0</v>
      </c>
      <c r="I127" s="15">
        <f t="shared" si="118"/>
        <v>0</v>
      </c>
      <c r="J127" s="132">
        <v>0</v>
      </c>
      <c r="K127" s="132">
        <v>0</v>
      </c>
      <c r="L127" s="132">
        <v>0</v>
      </c>
      <c r="M127" s="45">
        <v>0</v>
      </c>
      <c r="N127" s="15">
        <f t="shared" si="90"/>
        <v>0</v>
      </c>
      <c r="O127" s="17">
        <f t="shared" si="91"/>
        <v>0</v>
      </c>
      <c r="P127" s="17">
        <f t="shared" si="92"/>
        <v>0</v>
      </c>
      <c r="Q127" s="17">
        <f t="shared" si="93"/>
        <v>0</v>
      </c>
      <c r="R127" s="17">
        <f t="shared" si="94"/>
        <v>0</v>
      </c>
      <c r="S127" s="18" t="s">
        <v>126</v>
      </c>
      <c r="T127" s="20" t="s">
        <v>126</v>
      </c>
      <c r="U127" s="20" t="s">
        <v>126</v>
      </c>
      <c r="V127" s="20" t="s">
        <v>126</v>
      </c>
      <c r="W127" s="20" t="s">
        <v>126</v>
      </c>
      <c r="X127" s="195"/>
    </row>
    <row r="128" spans="1:24" ht="36" customHeight="1" x14ac:dyDescent="0.25">
      <c r="A128" s="203"/>
      <c r="B128" s="204"/>
      <c r="C128" s="158" t="s">
        <v>2</v>
      </c>
      <c r="D128" s="15">
        <f t="shared" si="117"/>
        <v>0</v>
      </c>
      <c r="E128" s="53">
        <v>0</v>
      </c>
      <c r="F128" s="17">
        <v>0</v>
      </c>
      <c r="G128" s="17">
        <v>0</v>
      </c>
      <c r="H128" s="17">
        <v>0</v>
      </c>
      <c r="I128" s="15">
        <f t="shared" si="118"/>
        <v>0</v>
      </c>
      <c r="J128" s="133">
        <v>0</v>
      </c>
      <c r="K128" s="45">
        <v>0</v>
      </c>
      <c r="L128" s="45">
        <v>0</v>
      </c>
      <c r="M128" s="133">
        <v>0</v>
      </c>
      <c r="N128" s="15">
        <f t="shared" si="90"/>
        <v>0</v>
      </c>
      <c r="O128" s="17">
        <f t="shared" si="91"/>
        <v>0</v>
      </c>
      <c r="P128" s="17">
        <f t="shared" si="92"/>
        <v>0</v>
      </c>
      <c r="Q128" s="17">
        <f t="shared" si="93"/>
        <v>0</v>
      </c>
      <c r="R128" s="17">
        <f t="shared" si="94"/>
        <v>0</v>
      </c>
      <c r="S128" s="18" t="s">
        <v>126</v>
      </c>
      <c r="T128" s="20" t="s">
        <v>126</v>
      </c>
      <c r="U128" s="20" t="s">
        <v>126</v>
      </c>
      <c r="V128" s="20" t="s">
        <v>126</v>
      </c>
      <c r="W128" s="20" t="s">
        <v>126</v>
      </c>
      <c r="X128" s="195"/>
    </row>
    <row r="129" spans="1:24" ht="36" customHeight="1" x14ac:dyDescent="0.25">
      <c r="A129" s="203"/>
      <c r="B129" s="204"/>
      <c r="C129" s="158" t="s">
        <v>4</v>
      </c>
      <c r="D129" s="15">
        <f t="shared" si="117"/>
        <v>574.08800000000008</v>
      </c>
      <c r="E129" s="53">
        <v>2.84</v>
      </c>
      <c r="F129" s="17">
        <v>571.24800000000005</v>
      </c>
      <c r="G129" s="17">
        <v>0</v>
      </c>
      <c r="H129" s="17">
        <v>0</v>
      </c>
      <c r="I129" s="15">
        <f>J129+K129+L129+M129</f>
        <v>302.33999999999997</v>
      </c>
      <c r="J129" s="65">
        <v>2.84</v>
      </c>
      <c r="K129" s="45">
        <v>0</v>
      </c>
      <c r="L129" s="45">
        <v>0</v>
      </c>
      <c r="M129" s="65">
        <v>299.5</v>
      </c>
      <c r="N129" s="15">
        <f t="shared" si="90"/>
        <v>-271.7480000000001</v>
      </c>
      <c r="O129" s="17">
        <f t="shared" si="91"/>
        <v>0</v>
      </c>
      <c r="P129" s="17">
        <f t="shared" si="92"/>
        <v>-571.24800000000005</v>
      </c>
      <c r="Q129" s="17">
        <f t="shared" si="93"/>
        <v>0</v>
      </c>
      <c r="R129" s="17">
        <f t="shared" si="94"/>
        <v>299.5</v>
      </c>
      <c r="S129" s="18">
        <f t="shared" si="121"/>
        <v>0.52664399882944768</v>
      </c>
      <c r="T129" s="20">
        <f t="shared" si="121"/>
        <v>1</v>
      </c>
      <c r="U129" s="20">
        <f t="shared" si="121"/>
        <v>0</v>
      </c>
      <c r="V129" s="20" t="s">
        <v>126</v>
      </c>
      <c r="W129" s="20" t="s">
        <v>126</v>
      </c>
      <c r="X129" s="195"/>
    </row>
    <row r="130" spans="1:24" ht="36" customHeight="1" x14ac:dyDescent="0.25">
      <c r="A130" s="203"/>
      <c r="B130" s="204"/>
      <c r="C130" s="158" t="s">
        <v>20</v>
      </c>
      <c r="D130" s="15">
        <f>D127+D128+D129</f>
        <v>574.08800000000008</v>
      </c>
      <c r="E130" s="17">
        <f t="shared" ref="E130:M130" si="122">E127+E128+E129</f>
        <v>2.84</v>
      </c>
      <c r="F130" s="17">
        <f t="shared" si="122"/>
        <v>571.24800000000005</v>
      </c>
      <c r="G130" s="17">
        <f t="shared" si="122"/>
        <v>0</v>
      </c>
      <c r="H130" s="17">
        <f t="shared" si="122"/>
        <v>0</v>
      </c>
      <c r="I130" s="15">
        <f t="shared" si="122"/>
        <v>302.33999999999997</v>
      </c>
      <c r="J130" s="65">
        <f t="shared" si="122"/>
        <v>2.84</v>
      </c>
      <c r="K130" s="17">
        <f t="shared" si="122"/>
        <v>0</v>
      </c>
      <c r="L130" s="17">
        <f t="shared" si="122"/>
        <v>0</v>
      </c>
      <c r="M130" s="65">
        <f t="shared" si="122"/>
        <v>299.5</v>
      </c>
      <c r="N130" s="15">
        <f t="shared" si="90"/>
        <v>-271.7480000000001</v>
      </c>
      <c r="O130" s="17">
        <f t="shared" si="91"/>
        <v>0</v>
      </c>
      <c r="P130" s="17">
        <f t="shared" si="92"/>
        <v>-571.24800000000005</v>
      </c>
      <c r="Q130" s="17">
        <f t="shared" si="93"/>
        <v>0</v>
      </c>
      <c r="R130" s="17">
        <f t="shared" si="94"/>
        <v>299.5</v>
      </c>
      <c r="S130" s="18">
        <f t="shared" si="121"/>
        <v>0.52664399882944768</v>
      </c>
      <c r="T130" s="20">
        <f t="shared" si="121"/>
        <v>1</v>
      </c>
      <c r="U130" s="20">
        <f t="shared" si="121"/>
        <v>0</v>
      </c>
      <c r="V130" s="20" t="s">
        <v>126</v>
      </c>
      <c r="W130" s="20" t="s">
        <v>126</v>
      </c>
      <c r="X130" s="195"/>
    </row>
    <row r="131" spans="1:24" ht="36" customHeight="1" x14ac:dyDescent="0.25">
      <c r="A131" s="203"/>
      <c r="B131" s="213" t="s">
        <v>66</v>
      </c>
      <c r="C131" s="158" t="s">
        <v>1</v>
      </c>
      <c r="D131" s="15">
        <f>E131+F131+G131+H131</f>
        <v>0</v>
      </c>
      <c r="E131" s="57">
        <v>0</v>
      </c>
      <c r="F131" s="16">
        <v>0</v>
      </c>
      <c r="G131" s="16">
        <v>0</v>
      </c>
      <c r="H131" s="16">
        <v>0</v>
      </c>
      <c r="I131" s="15">
        <f>J131+K131+L131+M131</f>
        <v>0</v>
      </c>
      <c r="J131" s="16">
        <v>0</v>
      </c>
      <c r="K131" s="16">
        <v>0</v>
      </c>
      <c r="L131" s="16">
        <v>0</v>
      </c>
      <c r="M131" s="16">
        <v>0</v>
      </c>
      <c r="N131" s="15">
        <f t="shared" si="90"/>
        <v>0</v>
      </c>
      <c r="O131" s="17">
        <f t="shared" si="91"/>
        <v>0</v>
      </c>
      <c r="P131" s="17">
        <f t="shared" si="92"/>
        <v>0</v>
      </c>
      <c r="Q131" s="17">
        <f t="shared" si="93"/>
        <v>0</v>
      </c>
      <c r="R131" s="17">
        <f t="shared" si="94"/>
        <v>0</v>
      </c>
      <c r="S131" s="18" t="s">
        <v>126</v>
      </c>
      <c r="T131" s="20" t="s">
        <v>126</v>
      </c>
      <c r="U131" s="20" t="s">
        <v>126</v>
      </c>
      <c r="V131" s="20" t="s">
        <v>126</v>
      </c>
      <c r="W131" s="20" t="s">
        <v>126</v>
      </c>
      <c r="X131" s="195"/>
    </row>
    <row r="132" spans="1:24" ht="36" customHeight="1" x14ac:dyDescent="0.25">
      <c r="A132" s="203"/>
      <c r="B132" s="214"/>
      <c r="C132" s="158" t="s">
        <v>2</v>
      </c>
      <c r="D132" s="15">
        <f>E132+F132+G132+H132</f>
        <v>0</v>
      </c>
      <c r="E132" s="53">
        <v>0</v>
      </c>
      <c r="F132" s="17">
        <v>0</v>
      </c>
      <c r="G132" s="17">
        <v>0</v>
      </c>
      <c r="H132" s="17">
        <v>0</v>
      </c>
      <c r="I132" s="15">
        <f>J132+K132+L132+M132</f>
        <v>0</v>
      </c>
      <c r="J132" s="17">
        <v>0</v>
      </c>
      <c r="K132" s="17">
        <v>0</v>
      </c>
      <c r="L132" s="17">
        <v>0</v>
      </c>
      <c r="M132" s="17">
        <v>0</v>
      </c>
      <c r="N132" s="15">
        <f t="shared" si="90"/>
        <v>0</v>
      </c>
      <c r="O132" s="17">
        <f t="shared" si="91"/>
        <v>0</v>
      </c>
      <c r="P132" s="17">
        <f t="shared" si="92"/>
        <v>0</v>
      </c>
      <c r="Q132" s="17">
        <f t="shared" si="93"/>
        <v>0</v>
      </c>
      <c r="R132" s="17">
        <f t="shared" si="94"/>
        <v>0</v>
      </c>
      <c r="S132" s="18" t="s">
        <v>126</v>
      </c>
      <c r="T132" s="20" t="s">
        <v>126</v>
      </c>
      <c r="U132" s="20" t="s">
        <v>126</v>
      </c>
      <c r="V132" s="20" t="s">
        <v>126</v>
      </c>
      <c r="W132" s="20" t="s">
        <v>126</v>
      </c>
      <c r="X132" s="195"/>
    </row>
    <row r="133" spans="1:24" ht="36" customHeight="1" x14ac:dyDescent="0.25">
      <c r="A133" s="203"/>
      <c r="B133" s="214"/>
      <c r="C133" s="158" t="s">
        <v>4</v>
      </c>
      <c r="D133" s="63">
        <f>E133+F133+G133+H133</f>
        <v>4562.7870000000003</v>
      </c>
      <c r="E133" s="64">
        <v>4562.7870000000003</v>
      </c>
      <c r="F133" s="17">
        <v>0</v>
      </c>
      <c r="G133" s="17">
        <v>0</v>
      </c>
      <c r="H133" s="17">
        <v>0</v>
      </c>
      <c r="I133" s="63">
        <f>J133+K133+L133+M133</f>
        <v>4562.7870000000003</v>
      </c>
      <c r="J133" s="65">
        <v>3378.7877199999998</v>
      </c>
      <c r="K133" s="17">
        <v>0</v>
      </c>
      <c r="L133" s="19">
        <v>0</v>
      </c>
      <c r="M133" s="65">
        <v>1183.99928</v>
      </c>
      <c r="N133" s="15">
        <f t="shared" si="90"/>
        <v>0</v>
      </c>
      <c r="O133" s="17">
        <f t="shared" si="91"/>
        <v>-1183.9992800000005</v>
      </c>
      <c r="P133" s="17">
        <f t="shared" si="92"/>
        <v>0</v>
      </c>
      <c r="Q133" s="17">
        <f t="shared" si="93"/>
        <v>0</v>
      </c>
      <c r="R133" s="17">
        <f t="shared" si="94"/>
        <v>1183.99928</v>
      </c>
      <c r="S133" s="18">
        <f t="shared" si="121"/>
        <v>1</v>
      </c>
      <c r="T133" s="20">
        <f t="shared" si="121"/>
        <v>0.74050963150372784</v>
      </c>
      <c r="U133" s="20" t="s">
        <v>126</v>
      </c>
      <c r="V133" s="20" t="s">
        <v>126</v>
      </c>
      <c r="W133" s="20" t="s">
        <v>126</v>
      </c>
      <c r="X133" s="195"/>
    </row>
    <row r="134" spans="1:24" ht="36" customHeight="1" x14ac:dyDescent="0.25">
      <c r="A134" s="203"/>
      <c r="B134" s="215"/>
      <c r="C134" s="158" t="s">
        <v>20</v>
      </c>
      <c r="D134" s="63">
        <f>D131+D132+D133</f>
        <v>4562.7870000000003</v>
      </c>
      <c r="E134" s="65">
        <f t="shared" ref="E134:M134" si="123">E131+E132+E133</f>
        <v>4562.7870000000003</v>
      </c>
      <c r="F134" s="17">
        <f t="shared" si="123"/>
        <v>0</v>
      </c>
      <c r="G134" s="17">
        <f t="shared" si="123"/>
        <v>0</v>
      </c>
      <c r="H134" s="17">
        <f t="shared" si="123"/>
        <v>0</v>
      </c>
      <c r="I134" s="63">
        <f t="shared" si="123"/>
        <v>4562.7870000000003</v>
      </c>
      <c r="J134" s="65">
        <f t="shared" si="123"/>
        <v>3378.7877199999998</v>
      </c>
      <c r="K134" s="17">
        <f t="shared" si="123"/>
        <v>0</v>
      </c>
      <c r="L134" s="17">
        <f t="shared" si="123"/>
        <v>0</v>
      </c>
      <c r="M134" s="65">
        <f t="shared" si="123"/>
        <v>1183.99928</v>
      </c>
      <c r="N134" s="15">
        <f t="shared" si="90"/>
        <v>0</v>
      </c>
      <c r="O134" s="17">
        <f t="shared" si="91"/>
        <v>-1183.9992800000005</v>
      </c>
      <c r="P134" s="17">
        <f t="shared" si="92"/>
        <v>0</v>
      </c>
      <c r="Q134" s="17">
        <f t="shared" si="93"/>
        <v>0</v>
      </c>
      <c r="R134" s="17">
        <f t="shared" si="94"/>
        <v>1183.99928</v>
      </c>
      <c r="S134" s="18">
        <f t="shared" si="121"/>
        <v>1</v>
      </c>
      <c r="T134" s="20">
        <f t="shared" si="121"/>
        <v>0.74050963150372784</v>
      </c>
      <c r="U134" s="20" t="s">
        <v>126</v>
      </c>
      <c r="V134" s="20" t="s">
        <v>126</v>
      </c>
      <c r="W134" s="20" t="s">
        <v>126</v>
      </c>
      <c r="X134" s="196"/>
    </row>
    <row r="135" spans="1:24" ht="36" customHeight="1" x14ac:dyDescent="0.25">
      <c r="A135" s="203"/>
      <c r="B135" s="213" t="s">
        <v>67</v>
      </c>
      <c r="C135" s="158" t="s">
        <v>1</v>
      </c>
      <c r="D135" s="15">
        <f>E135+F135+G135+H135</f>
        <v>0</v>
      </c>
      <c r="E135" s="16">
        <v>0</v>
      </c>
      <c r="F135" s="16">
        <v>0</v>
      </c>
      <c r="G135" s="16">
        <v>0</v>
      </c>
      <c r="H135" s="16">
        <v>0</v>
      </c>
      <c r="I135" s="15">
        <f>J135+K135+L135+M135</f>
        <v>0</v>
      </c>
      <c r="J135" s="16">
        <v>0</v>
      </c>
      <c r="K135" s="16">
        <v>0</v>
      </c>
      <c r="L135" s="16">
        <v>0</v>
      </c>
      <c r="M135" s="16">
        <v>0</v>
      </c>
      <c r="N135" s="15">
        <f>I135-D135</f>
        <v>0</v>
      </c>
      <c r="O135" s="17">
        <f t="shared" ref="O135:R150" si="124">J135-E135</f>
        <v>0</v>
      </c>
      <c r="P135" s="17">
        <f t="shared" si="124"/>
        <v>0</v>
      </c>
      <c r="Q135" s="17">
        <f t="shared" si="124"/>
        <v>0</v>
      </c>
      <c r="R135" s="17">
        <f t="shared" si="124"/>
        <v>0</v>
      </c>
      <c r="S135" s="18" t="s">
        <v>126</v>
      </c>
      <c r="T135" s="18" t="s">
        <v>126</v>
      </c>
      <c r="U135" s="18" t="s">
        <v>126</v>
      </c>
      <c r="V135" s="18" t="s">
        <v>126</v>
      </c>
      <c r="W135" s="18" t="s">
        <v>126</v>
      </c>
      <c r="X135" s="158"/>
    </row>
    <row r="136" spans="1:24" ht="36" customHeight="1" x14ac:dyDescent="0.25">
      <c r="A136" s="203"/>
      <c r="B136" s="214"/>
      <c r="C136" s="158" t="s">
        <v>2</v>
      </c>
      <c r="D136" s="15">
        <f>E136+F136+G136+H136</f>
        <v>0</v>
      </c>
      <c r="E136" s="16">
        <v>0</v>
      </c>
      <c r="F136" s="16">
        <v>0</v>
      </c>
      <c r="G136" s="16">
        <v>0</v>
      </c>
      <c r="H136" s="16">
        <v>0</v>
      </c>
      <c r="I136" s="15">
        <f>J136+K136+L136+M136</f>
        <v>0</v>
      </c>
      <c r="J136" s="16">
        <v>0</v>
      </c>
      <c r="K136" s="16">
        <v>0</v>
      </c>
      <c r="L136" s="16">
        <v>0</v>
      </c>
      <c r="M136" s="16">
        <v>0</v>
      </c>
      <c r="N136" s="15">
        <f t="shared" ref="N136:N150" si="125">I136-D136</f>
        <v>0</v>
      </c>
      <c r="O136" s="17">
        <f t="shared" si="124"/>
        <v>0</v>
      </c>
      <c r="P136" s="17">
        <f t="shared" si="124"/>
        <v>0</v>
      </c>
      <c r="Q136" s="17">
        <f t="shared" si="124"/>
        <v>0</v>
      </c>
      <c r="R136" s="17">
        <f t="shared" si="124"/>
        <v>0</v>
      </c>
      <c r="S136" s="18" t="s">
        <v>126</v>
      </c>
      <c r="T136" s="18" t="s">
        <v>126</v>
      </c>
      <c r="U136" s="18" t="s">
        <v>126</v>
      </c>
      <c r="V136" s="18" t="s">
        <v>126</v>
      </c>
      <c r="W136" s="18" t="s">
        <v>126</v>
      </c>
      <c r="X136" s="158"/>
    </row>
    <row r="137" spans="1:24" ht="36" customHeight="1" x14ac:dyDescent="0.25">
      <c r="A137" s="203"/>
      <c r="B137" s="214"/>
      <c r="C137" s="158" t="s">
        <v>4</v>
      </c>
      <c r="D137" s="15">
        <f>E137+F137+G137+H137</f>
        <v>0</v>
      </c>
      <c r="E137" s="16">
        <v>0</v>
      </c>
      <c r="F137" s="16">
        <v>0</v>
      </c>
      <c r="G137" s="16">
        <v>0</v>
      </c>
      <c r="H137" s="16">
        <v>0</v>
      </c>
      <c r="I137" s="15">
        <f>J137+K137+L137+M137</f>
        <v>0</v>
      </c>
      <c r="J137" s="16">
        <v>0</v>
      </c>
      <c r="K137" s="16">
        <v>0</v>
      </c>
      <c r="L137" s="16">
        <v>0</v>
      </c>
      <c r="M137" s="16">
        <v>0</v>
      </c>
      <c r="N137" s="15">
        <f t="shared" si="125"/>
        <v>0</v>
      </c>
      <c r="O137" s="17">
        <f t="shared" si="124"/>
        <v>0</v>
      </c>
      <c r="P137" s="17">
        <f t="shared" si="124"/>
        <v>0</v>
      </c>
      <c r="Q137" s="17">
        <f t="shared" si="124"/>
        <v>0</v>
      </c>
      <c r="R137" s="17">
        <f t="shared" si="124"/>
        <v>0</v>
      </c>
      <c r="S137" s="18" t="s">
        <v>126</v>
      </c>
      <c r="T137" s="18" t="s">
        <v>126</v>
      </c>
      <c r="U137" s="18" t="s">
        <v>126</v>
      </c>
      <c r="V137" s="18" t="s">
        <v>126</v>
      </c>
      <c r="W137" s="18" t="s">
        <v>126</v>
      </c>
      <c r="X137" s="158"/>
    </row>
    <row r="138" spans="1:24" ht="36" customHeight="1" x14ac:dyDescent="0.25">
      <c r="A138" s="203"/>
      <c r="B138" s="215"/>
      <c r="C138" s="158" t="s">
        <v>20</v>
      </c>
      <c r="D138" s="15">
        <f>D135+D136+D137</f>
        <v>0</v>
      </c>
      <c r="E138" s="17">
        <f t="shared" ref="E138:M138" si="126">E135+E136+E137</f>
        <v>0</v>
      </c>
      <c r="F138" s="17">
        <f t="shared" si="126"/>
        <v>0</v>
      </c>
      <c r="G138" s="17">
        <f t="shared" si="126"/>
        <v>0</v>
      </c>
      <c r="H138" s="17">
        <f t="shared" si="126"/>
        <v>0</v>
      </c>
      <c r="I138" s="15">
        <f t="shared" si="126"/>
        <v>0</v>
      </c>
      <c r="J138" s="17">
        <f t="shared" si="126"/>
        <v>0</v>
      </c>
      <c r="K138" s="17">
        <f t="shared" si="126"/>
        <v>0</v>
      </c>
      <c r="L138" s="17">
        <f t="shared" si="126"/>
        <v>0</v>
      </c>
      <c r="M138" s="17">
        <f t="shared" si="126"/>
        <v>0</v>
      </c>
      <c r="N138" s="15">
        <f t="shared" si="125"/>
        <v>0</v>
      </c>
      <c r="O138" s="17">
        <f t="shared" si="124"/>
        <v>0</v>
      </c>
      <c r="P138" s="17">
        <f t="shared" si="124"/>
        <v>0</v>
      </c>
      <c r="Q138" s="17">
        <f t="shared" si="124"/>
        <v>0</v>
      </c>
      <c r="R138" s="17">
        <f t="shared" si="124"/>
        <v>0</v>
      </c>
      <c r="S138" s="18" t="s">
        <v>126</v>
      </c>
      <c r="T138" s="20" t="s">
        <v>126</v>
      </c>
      <c r="U138" s="20" t="s">
        <v>126</v>
      </c>
      <c r="V138" s="20" t="s">
        <v>126</v>
      </c>
      <c r="W138" s="20" t="s">
        <v>126</v>
      </c>
      <c r="X138" s="158"/>
    </row>
    <row r="139" spans="1:24" ht="36" customHeight="1" x14ac:dyDescent="0.25">
      <c r="A139" s="203">
        <v>9</v>
      </c>
      <c r="B139" s="204" t="s">
        <v>35</v>
      </c>
      <c r="C139" s="158" t="s">
        <v>1</v>
      </c>
      <c r="D139" s="15">
        <f>E139+F139+G139+H139</f>
        <v>0</v>
      </c>
      <c r="E139" s="17">
        <f>E143+E147</f>
        <v>0</v>
      </c>
      <c r="F139" s="17">
        <f>F143+F147</f>
        <v>0</v>
      </c>
      <c r="G139" s="17">
        <f>G143+G147</f>
        <v>0</v>
      </c>
      <c r="H139" s="17">
        <f>H143+H147</f>
        <v>0</v>
      </c>
      <c r="I139" s="15">
        <f>J139+K139+L139+M139</f>
        <v>0</v>
      </c>
      <c r="J139" s="17">
        <f>J143+J147</f>
        <v>0</v>
      </c>
      <c r="K139" s="17">
        <f>K143+K147</f>
        <v>0</v>
      </c>
      <c r="L139" s="17">
        <f>L143+L147</f>
        <v>0</v>
      </c>
      <c r="M139" s="17">
        <f>M143+M147</f>
        <v>0</v>
      </c>
      <c r="N139" s="15">
        <f t="shared" si="125"/>
        <v>0</v>
      </c>
      <c r="O139" s="17">
        <f t="shared" si="124"/>
        <v>0</v>
      </c>
      <c r="P139" s="17">
        <f t="shared" si="124"/>
        <v>0</v>
      </c>
      <c r="Q139" s="17">
        <f t="shared" si="124"/>
        <v>0</v>
      </c>
      <c r="R139" s="17">
        <f t="shared" si="124"/>
        <v>0</v>
      </c>
      <c r="S139" s="18" t="s">
        <v>126</v>
      </c>
      <c r="T139" s="20" t="s">
        <v>126</v>
      </c>
      <c r="U139" s="20" t="s">
        <v>126</v>
      </c>
      <c r="V139" s="20" t="s">
        <v>126</v>
      </c>
      <c r="W139" s="20" t="s">
        <v>126</v>
      </c>
      <c r="X139" s="20"/>
    </row>
    <row r="140" spans="1:24" ht="36" customHeight="1" x14ac:dyDescent="0.25">
      <c r="A140" s="203"/>
      <c r="B140" s="204"/>
      <c r="C140" s="158" t="s">
        <v>2</v>
      </c>
      <c r="D140" s="15">
        <v>1275.46</v>
      </c>
      <c r="E140" s="17">
        <v>0</v>
      </c>
      <c r="F140" s="17">
        <f t="shared" ref="E140:H142" si="127">F144+F148</f>
        <v>0</v>
      </c>
      <c r="G140" s="17">
        <f t="shared" si="127"/>
        <v>0</v>
      </c>
      <c r="H140" s="17">
        <f t="shared" si="127"/>
        <v>1275.46</v>
      </c>
      <c r="I140" s="15">
        <f>J140+K140+L140+M140</f>
        <v>1120.47</v>
      </c>
      <c r="J140" s="17">
        <f t="shared" ref="J140:M142" si="128">J144+J148</f>
        <v>98.846000000000004</v>
      </c>
      <c r="K140" s="17">
        <f t="shared" si="128"/>
        <v>197.82900000000001</v>
      </c>
      <c r="L140" s="17">
        <f t="shared" si="128"/>
        <v>179.251</v>
      </c>
      <c r="M140" s="17">
        <f t="shared" si="128"/>
        <v>644.54399999999998</v>
      </c>
      <c r="N140" s="15">
        <f t="shared" si="125"/>
        <v>-154.99</v>
      </c>
      <c r="O140" s="17">
        <f t="shared" si="124"/>
        <v>98.846000000000004</v>
      </c>
      <c r="P140" s="17">
        <f t="shared" si="124"/>
        <v>197.82900000000001</v>
      </c>
      <c r="Q140" s="17">
        <f t="shared" si="124"/>
        <v>179.251</v>
      </c>
      <c r="R140" s="17">
        <f t="shared" si="124"/>
        <v>-630.91600000000005</v>
      </c>
      <c r="S140" s="18">
        <f t="shared" ref="S140:S150" si="129">I140/D140</f>
        <v>0.87848305709312713</v>
      </c>
      <c r="T140" s="20" t="s">
        <v>126</v>
      </c>
      <c r="U140" s="20" t="s">
        <v>126</v>
      </c>
      <c r="V140" s="20" t="s">
        <v>126</v>
      </c>
      <c r="W140" s="20" t="s">
        <v>126</v>
      </c>
      <c r="X140" s="20"/>
    </row>
    <row r="141" spans="1:24" ht="36" customHeight="1" x14ac:dyDescent="0.25">
      <c r="A141" s="203"/>
      <c r="B141" s="204"/>
      <c r="C141" s="158" t="s">
        <v>4</v>
      </c>
      <c r="D141" s="15">
        <f>D145+D149</f>
        <v>0</v>
      </c>
      <c r="E141" s="17">
        <f t="shared" si="127"/>
        <v>0</v>
      </c>
      <c r="F141" s="17">
        <f t="shared" si="127"/>
        <v>0</v>
      </c>
      <c r="G141" s="17">
        <f t="shared" si="127"/>
        <v>0</v>
      </c>
      <c r="H141" s="17">
        <f t="shared" si="127"/>
        <v>0</v>
      </c>
      <c r="I141" s="15">
        <f t="shared" ref="I141:I149" si="130">J141+K141+L141+M141</f>
        <v>0</v>
      </c>
      <c r="J141" s="17">
        <f t="shared" si="128"/>
        <v>0</v>
      </c>
      <c r="K141" s="17">
        <f t="shared" si="128"/>
        <v>0</v>
      </c>
      <c r="L141" s="17">
        <f t="shared" si="128"/>
        <v>0</v>
      </c>
      <c r="M141" s="17">
        <f t="shared" si="128"/>
        <v>0</v>
      </c>
      <c r="N141" s="15">
        <f t="shared" si="125"/>
        <v>0</v>
      </c>
      <c r="O141" s="17">
        <f t="shared" si="124"/>
        <v>0</v>
      </c>
      <c r="P141" s="17">
        <f t="shared" si="124"/>
        <v>0</v>
      </c>
      <c r="Q141" s="17">
        <f t="shared" si="124"/>
        <v>0</v>
      </c>
      <c r="R141" s="17">
        <f t="shared" si="124"/>
        <v>0</v>
      </c>
      <c r="S141" s="18" t="s">
        <v>126</v>
      </c>
      <c r="T141" s="20" t="s">
        <v>126</v>
      </c>
      <c r="U141" s="20" t="s">
        <v>126</v>
      </c>
      <c r="V141" s="20" t="s">
        <v>126</v>
      </c>
      <c r="W141" s="20" t="s">
        <v>126</v>
      </c>
      <c r="X141" s="20"/>
    </row>
    <row r="142" spans="1:24" ht="36" customHeight="1" x14ac:dyDescent="0.25">
      <c r="A142" s="203"/>
      <c r="B142" s="204"/>
      <c r="C142" s="158" t="s">
        <v>21</v>
      </c>
      <c r="D142" s="15">
        <v>1275.46</v>
      </c>
      <c r="E142" s="17">
        <v>0</v>
      </c>
      <c r="F142" s="17">
        <f t="shared" si="127"/>
        <v>0</v>
      </c>
      <c r="G142" s="17">
        <f t="shared" si="127"/>
        <v>0</v>
      </c>
      <c r="H142" s="17">
        <f t="shared" si="127"/>
        <v>1275.46</v>
      </c>
      <c r="I142" s="15">
        <f>I146+I150</f>
        <v>1120.47</v>
      </c>
      <c r="J142" s="17">
        <f t="shared" si="128"/>
        <v>98.846000000000004</v>
      </c>
      <c r="K142" s="17">
        <f t="shared" si="128"/>
        <v>197.82900000000001</v>
      </c>
      <c r="L142" s="17">
        <f t="shared" si="128"/>
        <v>179.251</v>
      </c>
      <c r="M142" s="17">
        <f t="shared" si="128"/>
        <v>644.54399999999998</v>
      </c>
      <c r="N142" s="15">
        <f t="shared" si="125"/>
        <v>-154.99</v>
      </c>
      <c r="O142" s="17">
        <f t="shared" si="124"/>
        <v>98.846000000000004</v>
      </c>
      <c r="P142" s="17">
        <f t="shared" si="124"/>
        <v>197.82900000000001</v>
      </c>
      <c r="Q142" s="17">
        <f t="shared" si="124"/>
        <v>179.251</v>
      </c>
      <c r="R142" s="17">
        <f t="shared" si="124"/>
        <v>-630.91600000000005</v>
      </c>
      <c r="S142" s="18">
        <f t="shared" si="129"/>
        <v>0.87848305709312713</v>
      </c>
      <c r="T142" s="20" t="s">
        <v>126</v>
      </c>
      <c r="U142" s="20" t="s">
        <v>126</v>
      </c>
      <c r="V142" s="20" t="s">
        <v>126</v>
      </c>
      <c r="W142" s="20" t="s">
        <v>126</v>
      </c>
      <c r="X142" s="20"/>
    </row>
    <row r="143" spans="1:24" ht="36" customHeight="1" x14ac:dyDescent="0.25">
      <c r="A143" s="203"/>
      <c r="B143" s="204" t="s">
        <v>68</v>
      </c>
      <c r="C143" s="158" t="s">
        <v>1</v>
      </c>
      <c r="D143" s="15">
        <f t="shared" ref="D143:D149" si="131">E143+F143+G143+H143</f>
        <v>0</v>
      </c>
      <c r="E143" s="53">
        <v>0</v>
      </c>
      <c r="F143" s="17">
        <v>0</v>
      </c>
      <c r="G143" s="17">
        <v>0</v>
      </c>
      <c r="H143" s="17">
        <v>0</v>
      </c>
      <c r="I143" s="15">
        <f t="shared" si="130"/>
        <v>0</v>
      </c>
      <c r="J143" s="17">
        <v>0</v>
      </c>
      <c r="K143" s="19">
        <v>0</v>
      </c>
      <c r="L143" s="19">
        <v>0</v>
      </c>
      <c r="M143" s="19">
        <v>0</v>
      </c>
      <c r="N143" s="15">
        <f t="shared" si="125"/>
        <v>0</v>
      </c>
      <c r="O143" s="17">
        <f t="shared" si="124"/>
        <v>0</v>
      </c>
      <c r="P143" s="17">
        <f t="shared" si="124"/>
        <v>0</v>
      </c>
      <c r="Q143" s="17">
        <f t="shared" si="124"/>
        <v>0</v>
      </c>
      <c r="R143" s="17">
        <f t="shared" si="124"/>
        <v>0</v>
      </c>
      <c r="S143" s="18" t="s">
        <v>126</v>
      </c>
      <c r="T143" s="20" t="s">
        <v>126</v>
      </c>
      <c r="U143" s="20" t="s">
        <v>126</v>
      </c>
      <c r="V143" s="20" t="s">
        <v>126</v>
      </c>
      <c r="W143" s="20" t="s">
        <v>126</v>
      </c>
      <c r="X143" s="20"/>
    </row>
    <row r="144" spans="1:24" ht="36" customHeight="1" x14ac:dyDescent="0.25">
      <c r="A144" s="203"/>
      <c r="B144" s="204"/>
      <c r="C144" s="158" t="s">
        <v>2</v>
      </c>
      <c r="D144" s="15">
        <v>501.1</v>
      </c>
      <c r="E144" s="53">
        <v>0</v>
      </c>
      <c r="F144" s="17">
        <v>0</v>
      </c>
      <c r="G144" s="17">
        <v>0</v>
      </c>
      <c r="H144" s="17">
        <v>501.1</v>
      </c>
      <c r="I144" s="15">
        <v>406.48700000000002</v>
      </c>
      <c r="J144" s="17">
        <v>0</v>
      </c>
      <c r="K144" s="19">
        <v>0</v>
      </c>
      <c r="L144" s="19">
        <v>0</v>
      </c>
      <c r="M144" s="19">
        <v>406.48700000000002</v>
      </c>
      <c r="N144" s="15">
        <f t="shared" si="125"/>
        <v>-94.613</v>
      </c>
      <c r="O144" s="17">
        <f t="shared" si="124"/>
        <v>0</v>
      </c>
      <c r="P144" s="17">
        <f t="shared" si="124"/>
        <v>0</v>
      </c>
      <c r="Q144" s="17">
        <f t="shared" si="124"/>
        <v>0</v>
      </c>
      <c r="R144" s="17">
        <f t="shared" si="124"/>
        <v>-94.613</v>
      </c>
      <c r="S144" s="18">
        <f t="shared" si="129"/>
        <v>0.8111893833566155</v>
      </c>
      <c r="T144" s="20" t="s">
        <v>126</v>
      </c>
      <c r="U144" s="20" t="s">
        <v>126</v>
      </c>
      <c r="V144" s="20" t="s">
        <v>126</v>
      </c>
      <c r="W144" s="20" t="s">
        <v>126</v>
      </c>
      <c r="X144" s="20"/>
    </row>
    <row r="145" spans="1:24" ht="36" customHeight="1" x14ac:dyDescent="0.25">
      <c r="A145" s="203"/>
      <c r="B145" s="204"/>
      <c r="C145" s="158" t="s">
        <v>4</v>
      </c>
      <c r="D145" s="15">
        <f t="shared" si="131"/>
        <v>0</v>
      </c>
      <c r="E145" s="53">
        <v>0</v>
      </c>
      <c r="F145" s="17">
        <v>0</v>
      </c>
      <c r="G145" s="17">
        <v>0</v>
      </c>
      <c r="H145" s="17">
        <v>0</v>
      </c>
      <c r="I145" s="15">
        <f t="shared" si="130"/>
        <v>0</v>
      </c>
      <c r="J145" s="17">
        <v>0</v>
      </c>
      <c r="K145" s="19">
        <v>0</v>
      </c>
      <c r="L145" s="19">
        <v>0</v>
      </c>
      <c r="M145" s="19">
        <v>0</v>
      </c>
      <c r="N145" s="15">
        <f t="shared" si="125"/>
        <v>0</v>
      </c>
      <c r="O145" s="17">
        <f t="shared" si="124"/>
        <v>0</v>
      </c>
      <c r="P145" s="17">
        <f t="shared" si="124"/>
        <v>0</v>
      </c>
      <c r="Q145" s="17">
        <f t="shared" si="124"/>
        <v>0</v>
      </c>
      <c r="R145" s="17">
        <f t="shared" si="124"/>
        <v>0</v>
      </c>
      <c r="S145" s="18" t="s">
        <v>126</v>
      </c>
      <c r="T145" s="20" t="s">
        <v>126</v>
      </c>
      <c r="U145" s="20" t="s">
        <v>126</v>
      </c>
      <c r="V145" s="20" t="s">
        <v>126</v>
      </c>
      <c r="W145" s="20" t="s">
        <v>126</v>
      </c>
      <c r="X145" s="20"/>
    </row>
    <row r="146" spans="1:24" ht="36" customHeight="1" x14ac:dyDescent="0.25">
      <c r="A146" s="203"/>
      <c r="B146" s="204"/>
      <c r="C146" s="158" t="s">
        <v>20</v>
      </c>
      <c r="D146" s="15">
        <f>D143+D144+D145</f>
        <v>501.1</v>
      </c>
      <c r="E146" s="17">
        <f>E143+E144+E145</f>
        <v>0</v>
      </c>
      <c r="F146" s="17">
        <v>0</v>
      </c>
      <c r="G146" s="17">
        <f t="shared" ref="G146:L146" si="132">G143+G144+G145</f>
        <v>0</v>
      </c>
      <c r="H146" s="17">
        <f t="shared" si="132"/>
        <v>501.1</v>
      </c>
      <c r="I146" s="15">
        <f>I143+I144+I145</f>
        <v>406.48700000000002</v>
      </c>
      <c r="J146" s="17">
        <f t="shared" si="132"/>
        <v>0</v>
      </c>
      <c r="K146" s="17">
        <f t="shared" si="132"/>
        <v>0</v>
      </c>
      <c r="L146" s="17">
        <f t="shared" si="132"/>
        <v>0</v>
      </c>
      <c r="M146" s="17">
        <v>406.48700000000002</v>
      </c>
      <c r="N146" s="15">
        <f t="shared" si="125"/>
        <v>-94.613</v>
      </c>
      <c r="O146" s="17">
        <f t="shared" si="124"/>
        <v>0</v>
      </c>
      <c r="P146" s="17">
        <f t="shared" si="124"/>
        <v>0</v>
      </c>
      <c r="Q146" s="17">
        <f t="shared" si="124"/>
        <v>0</v>
      </c>
      <c r="R146" s="17">
        <f t="shared" si="124"/>
        <v>-94.613</v>
      </c>
      <c r="S146" s="18">
        <f t="shared" si="129"/>
        <v>0.8111893833566155</v>
      </c>
      <c r="T146" s="20" t="s">
        <v>126</v>
      </c>
      <c r="U146" s="20" t="s">
        <v>126</v>
      </c>
      <c r="V146" s="20" t="s">
        <v>126</v>
      </c>
      <c r="W146" s="20" t="s">
        <v>126</v>
      </c>
      <c r="X146" s="20"/>
    </row>
    <row r="147" spans="1:24" ht="36" customHeight="1" x14ac:dyDescent="0.25">
      <c r="A147" s="203"/>
      <c r="B147" s="204" t="s">
        <v>69</v>
      </c>
      <c r="C147" s="158" t="s">
        <v>1</v>
      </c>
      <c r="D147" s="15">
        <f t="shared" si="131"/>
        <v>0</v>
      </c>
      <c r="E147" s="17">
        <v>0</v>
      </c>
      <c r="F147" s="17">
        <v>0</v>
      </c>
      <c r="G147" s="17">
        <v>0</v>
      </c>
      <c r="H147" s="17">
        <v>0</v>
      </c>
      <c r="I147" s="15">
        <f t="shared" si="130"/>
        <v>0</v>
      </c>
      <c r="J147" s="17">
        <v>0</v>
      </c>
      <c r="K147" s="19">
        <v>0</v>
      </c>
      <c r="L147" s="19">
        <v>0</v>
      </c>
      <c r="M147" s="19">
        <v>0</v>
      </c>
      <c r="N147" s="15">
        <f t="shared" si="125"/>
        <v>0</v>
      </c>
      <c r="O147" s="17">
        <f t="shared" si="124"/>
        <v>0</v>
      </c>
      <c r="P147" s="17">
        <f t="shared" si="124"/>
        <v>0</v>
      </c>
      <c r="Q147" s="17">
        <f t="shared" si="124"/>
        <v>0</v>
      </c>
      <c r="R147" s="17">
        <f t="shared" si="124"/>
        <v>0</v>
      </c>
      <c r="S147" s="18" t="s">
        <v>126</v>
      </c>
      <c r="T147" s="20" t="s">
        <v>126</v>
      </c>
      <c r="U147" s="20" t="s">
        <v>126</v>
      </c>
      <c r="V147" s="20" t="s">
        <v>126</v>
      </c>
      <c r="W147" s="20" t="s">
        <v>126</v>
      </c>
      <c r="X147" s="20"/>
    </row>
    <row r="148" spans="1:24" ht="36" customHeight="1" x14ac:dyDescent="0.25">
      <c r="A148" s="203"/>
      <c r="B148" s="204"/>
      <c r="C148" s="158" t="s">
        <v>2</v>
      </c>
      <c r="D148" s="15">
        <v>774.36</v>
      </c>
      <c r="E148" s="45">
        <v>0</v>
      </c>
      <c r="F148" s="45">
        <v>0</v>
      </c>
      <c r="G148" s="45">
        <v>0</v>
      </c>
      <c r="H148" s="45">
        <v>774.36</v>
      </c>
      <c r="I148" s="15">
        <v>713.98299999999995</v>
      </c>
      <c r="J148" s="45">
        <v>98.846000000000004</v>
      </c>
      <c r="K148" s="19">
        <v>197.82900000000001</v>
      </c>
      <c r="L148" s="19">
        <v>179.251</v>
      </c>
      <c r="M148" s="19">
        <v>238.05699999999999</v>
      </c>
      <c r="N148" s="15">
        <f t="shared" si="125"/>
        <v>-60.377000000000066</v>
      </c>
      <c r="O148" s="17">
        <f t="shared" si="124"/>
        <v>98.846000000000004</v>
      </c>
      <c r="P148" s="17">
        <f t="shared" si="124"/>
        <v>197.82900000000001</v>
      </c>
      <c r="Q148" s="17">
        <f t="shared" si="124"/>
        <v>179.251</v>
      </c>
      <c r="R148" s="17">
        <f t="shared" si="124"/>
        <v>-536.303</v>
      </c>
      <c r="S148" s="18">
        <f t="shared" si="129"/>
        <v>0.92202980525853595</v>
      </c>
      <c r="T148" s="20" t="s">
        <v>126</v>
      </c>
      <c r="U148" s="20" t="s">
        <v>126</v>
      </c>
      <c r="V148" s="20" t="s">
        <v>126</v>
      </c>
      <c r="W148" s="20" t="s">
        <v>126</v>
      </c>
      <c r="X148" s="20"/>
    </row>
    <row r="149" spans="1:24" ht="36" customHeight="1" x14ac:dyDescent="0.25">
      <c r="A149" s="203"/>
      <c r="B149" s="204"/>
      <c r="C149" s="158" t="s">
        <v>4</v>
      </c>
      <c r="D149" s="15">
        <f t="shared" si="131"/>
        <v>0</v>
      </c>
      <c r="E149" s="17">
        <v>0</v>
      </c>
      <c r="F149" s="17">
        <v>0</v>
      </c>
      <c r="G149" s="17">
        <v>0</v>
      </c>
      <c r="H149" s="17">
        <v>0</v>
      </c>
      <c r="I149" s="15">
        <f t="shared" si="130"/>
        <v>0</v>
      </c>
      <c r="J149" s="17">
        <v>0</v>
      </c>
      <c r="K149" s="19">
        <v>0</v>
      </c>
      <c r="L149" s="19">
        <v>0</v>
      </c>
      <c r="M149" s="19">
        <v>0</v>
      </c>
      <c r="N149" s="15">
        <f t="shared" si="125"/>
        <v>0</v>
      </c>
      <c r="O149" s="17">
        <f t="shared" si="124"/>
        <v>0</v>
      </c>
      <c r="P149" s="17">
        <f t="shared" si="124"/>
        <v>0</v>
      </c>
      <c r="Q149" s="17">
        <f t="shared" si="124"/>
        <v>0</v>
      </c>
      <c r="R149" s="17">
        <f t="shared" si="124"/>
        <v>0</v>
      </c>
      <c r="S149" s="18" t="s">
        <v>126</v>
      </c>
      <c r="T149" s="20" t="s">
        <v>126</v>
      </c>
      <c r="U149" s="20" t="s">
        <v>126</v>
      </c>
      <c r="V149" s="20" t="s">
        <v>126</v>
      </c>
      <c r="W149" s="20" t="s">
        <v>126</v>
      </c>
      <c r="X149" s="20"/>
    </row>
    <row r="150" spans="1:24" ht="36" customHeight="1" x14ac:dyDescent="0.25">
      <c r="A150" s="203"/>
      <c r="B150" s="204"/>
      <c r="C150" s="158" t="s">
        <v>20</v>
      </c>
      <c r="D150" s="15">
        <f>D147+D148+D149</f>
        <v>774.36</v>
      </c>
      <c r="E150" s="15">
        <f t="shared" ref="E150:H150" si="133">E147+E148+E149</f>
        <v>0</v>
      </c>
      <c r="F150" s="15">
        <f t="shared" si="133"/>
        <v>0</v>
      </c>
      <c r="G150" s="15">
        <f t="shared" si="133"/>
        <v>0</v>
      </c>
      <c r="H150" s="15">
        <f t="shared" si="133"/>
        <v>774.36</v>
      </c>
      <c r="I150" s="15">
        <f>I147+I148+I149</f>
        <v>713.98299999999995</v>
      </c>
      <c r="J150" s="17">
        <f t="shared" ref="J150:L150" si="134">J147+J148+J149</f>
        <v>98.846000000000004</v>
      </c>
      <c r="K150" s="17">
        <f t="shared" si="134"/>
        <v>197.82900000000001</v>
      </c>
      <c r="L150" s="17">
        <f t="shared" si="134"/>
        <v>179.251</v>
      </c>
      <c r="M150" s="17">
        <v>238.05699999999999</v>
      </c>
      <c r="N150" s="15">
        <f t="shared" si="125"/>
        <v>-60.377000000000066</v>
      </c>
      <c r="O150" s="17">
        <f t="shared" si="124"/>
        <v>98.846000000000004</v>
      </c>
      <c r="P150" s="17">
        <f t="shared" si="124"/>
        <v>197.82900000000001</v>
      </c>
      <c r="Q150" s="17">
        <f t="shared" si="124"/>
        <v>179.251</v>
      </c>
      <c r="R150" s="17">
        <f t="shared" si="124"/>
        <v>-536.303</v>
      </c>
      <c r="S150" s="18">
        <f t="shared" si="129"/>
        <v>0.92202980525853595</v>
      </c>
      <c r="T150" s="20" t="s">
        <v>126</v>
      </c>
      <c r="U150" s="20" t="s">
        <v>126</v>
      </c>
      <c r="V150" s="20" t="s">
        <v>126</v>
      </c>
      <c r="W150" s="20" t="s">
        <v>126</v>
      </c>
      <c r="X150" s="20"/>
    </row>
    <row r="151" spans="1:24" ht="36" customHeight="1" x14ac:dyDescent="0.25">
      <c r="A151" s="203">
        <v>10</v>
      </c>
      <c r="B151" s="204" t="s">
        <v>36</v>
      </c>
      <c r="C151" s="158" t="s">
        <v>1</v>
      </c>
      <c r="D151" s="15">
        <f t="shared" ref="D151:D168" si="135">E151+F151+G151+H151</f>
        <v>373.05380000000002</v>
      </c>
      <c r="E151" s="17">
        <f>E155+E159+E163</f>
        <v>0</v>
      </c>
      <c r="F151" s="17">
        <f>F155+F159+F163</f>
        <v>0</v>
      </c>
      <c r="G151" s="17">
        <f>G155+G159+G163</f>
        <v>373.05380000000002</v>
      </c>
      <c r="H151" s="17">
        <f>H155+H159+H163</f>
        <v>0</v>
      </c>
      <c r="I151" s="15">
        <f t="shared" ref="I151:I173" si="136">J151+K151+L151+M151</f>
        <v>373.05380000000002</v>
      </c>
      <c r="J151" s="17">
        <f>J155+J159+J163</f>
        <v>0</v>
      </c>
      <c r="K151" s="17">
        <f>K155+K159+K163</f>
        <v>0</v>
      </c>
      <c r="L151" s="17">
        <f>L155+L159+L163</f>
        <v>373.05380000000002</v>
      </c>
      <c r="M151" s="17">
        <f>M155+M159+M163</f>
        <v>0</v>
      </c>
      <c r="N151" s="15">
        <f t="shared" ref="N151:R202" si="137">I151-D151</f>
        <v>0</v>
      </c>
      <c r="O151" s="17">
        <f t="shared" ref="O151:O170" si="138">J151-E151</f>
        <v>0</v>
      </c>
      <c r="P151" s="17">
        <f t="shared" ref="P151:P170" si="139">K151-F151</f>
        <v>0</v>
      </c>
      <c r="Q151" s="17">
        <f t="shared" ref="Q151:Q168" si="140">L151-G151</f>
        <v>0</v>
      </c>
      <c r="R151" s="17">
        <f t="shared" ref="R151:R168" si="141">M151-H151</f>
        <v>0</v>
      </c>
      <c r="S151" s="20" t="s">
        <v>126</v>
      </c>
      <c r="T151" s="20" t="s">
        <v>126</v>
      </c>
      <c r="U151" s="20" t="s">
        <v>126</v>
      </c>
      <c r="V151" s="20">
        <f t="shared" ref="V151:W166" si="142">L151/G151</f>
        <v>1</v>
      </c>
      <c r="W151" s="20" t="s">
        <v>126</v>
      </c>
      <c r="X151" s="200" t="s">
        <v>312</v>
      </c>
    </row>
    <row r="152" spans="1:24" ht="36" customHeight="1" x14ac:dyDescent="0.25">
      <c r="A152" s="203"/>
      <c r="B152" s="204"/>
      <c r="C152" s="158" t="s">
        <v>2</v>
      </c>
      <c r="D152" s="15">
        <f t="shared" si="135"/>
        <v>1518.6262000000002</v>
      </c>
      <c r="E152" s="17">
        <f t="shared" ref="E152:H152" si="143">E156+E160+E164</f>
        <v>0</v>
      </c>
      <c r="F152" s="17">
        <f t="shared" si="143"/>
        <v>0</v>
      </c>
      <c r="G152" s="17">
        <f t="shared" si="143"/>
        <v>650.12620000000004</v>
      </c>
      <c r="H152" s="17">
        <f t="shared" si="143"/>
        <v>868.5</v>
      </c>
      <c r="I152" s="15">
        <f t="shared" si="136"/>
        <v>1518.6262000000002</v>
      </c>
      <c r="J152" s="17">
        <f t="shared" ref="J152:M152" si="144">J156+J160+J164</f>
        <v>0</v>
      </c>
      <c r="K152" s="17">
        <f t="shared" si="144"/>
        <v>0</v>
      </c>
      <c r="L152" s="17">
        <f t="shared" si="144"/>
        <v>650.12620000000004</v>
      </c>
      <c r="M152" s="17">
        <f t="shared" si="144"/>
        <v>868.5</v>
      </c>
      <c r="N152" s="15">
        <f t="shared" si="137"/>
        <v>0</v>
      </c>
      <c r="O152" s="17">
        <f t="shared" si="138"/>
        <v>0</v>
      </c>
      <c r="P152" s="17">
        <f t="shared" si="139"/>
        <v>0</v>
      </c>
      <c r="Q152" s="17">
        <f t="shared" si="140"/>
        <v>0</v>
      </c>
      <c r="R152" s="17">
        <f t="shared" si="141"/>
        <v>0</v>
      </c>
      <c r="S152" s="20" t="s">
        <v>126</v>
      </c>
      <c r="T152" s="20" t="s">
        <v>126</v>
      </c>
      <c r="U152" s="20" t="s">
        <v>126</v>
      </c>
      <c r="V152" s="20">
        <f t="shared" si="142"/>
        <v>1</v>
      </c>
      <c r="W152" s="20" t="s">
        <v>126</v>
      </c>
      <c r="X152" s="201"/>
    </row>
    <row r="153" spans="1:24" ht="36" customHeight="1" x14ac:dyDescent="0.25">
      <c r="A153" s="203"/>
      <c r="B153" s="204"/>
      <c r="C153" s="158" t="s">
        <v>4</v>
      </c>
      <c r="D153" s="15">
        <f>E153+F153+G153+H153</f>
        <v>5834.8150000000005</v>
      </c>
      <c r="E153" s="17">
        <f>E157+E161+E165+E169</f>
        <v>952.07100000000003</v>
      </c>
      <c r="F153" s="17">
        <f t="shared" ref="F153:M153" si="145">F157+F161+F165+F169</f>
        <v>1313.559</v>
      </c>
      <c r="G153" s="17">
        <f t="shared" si="145"/>
        <v>1672.1390000000001</v>
      </c>
      <c r="H153" s="17">
        <f t="shared" si="145"/>
        <v>1897.046</v>
      </c>
      <c r="I153" s="15">
        <f t="shared" si="145"/>
        <v>5833.0330000000004</v>
      </c>
      <c r="J153" s="17">
        <f t="shared" si="145"/>
        <v>952.07100000000003</v>
      </c>
      <c r="K153" s="17">
        <f>K157+K161+K165+K169</f>
        <v>1313.559</v>
      </c>
      <c r="L153" s="17">
        <f>L157+L161+L165+L169</f>
        <v>2672.1390000000001</v>
      </c>
      <c r="M153" s="17">
        <f t="shared" si="145"/>
        <v>2895.2640000000001</v>
      </c>
      <c r="N153" s="15">
        <f t="shared" si="137"/>
        <v>-1.7820000000001528</v>
      </c>
      <c r="O153" s="17">
        <f t="shared" si="138"/>
        <v>0</v>
      </c>
      <c r="P153" s="17">
        <f t="shared" si="139"/>
        <v>0</v>
      </c>
      <c r="Q153" s="17">
        <f t="shared" si="140"/>
        <v>1000</v>
      </c>
      <c r="R153" s="17">
        <f t="shared" si="141"/>
        <v>998.21800000000007</v>
      </c>
      <c r="S153" s="18">
        <f t="shared" ref="S153:S178" si="146">I153/D153</f>
        <v>0.99969459185938203</v>
      </c>
      <c r="T153" s="20">
        <f t="shared" ref="T153:T158" si="147">J153/E153</f>
        <v>1</v>
      </c>
      <c r="U153" s="20">
        <f t="shared" ref="U153:U158" si="148">K153/F153</f>
        <v>1</v>
      </c>
      <c r="V153" s="20">
        <f t="shared" si="142"/>
        <v>1.5980364072604012</v>
      </c>
      <c r="W153" s="20">
        <f t="shared" ref="W153:W158" si="149">M153/H153</f>
        <v>1.5261959910302649</v>
      </c>
      <c r="X153" s="201"/>
    </row>
    <row r="154" spans="1:24" ht="36" customHeight="1" x14ac:dyDescent="0.25">
      <c r="A154" s="203"/>
      <c r="B154" s="204"/>
      <c r="C154" s="158" t="s">
        <v>21</v>
      </c>
      <c r="D154" s="15">
        <f>E154+F154+G154+H154</f>
        <v>6336.8950000000004</v>
      </c>
      <c r="E154" s="17">
        <f>E158+E162+E166+E170</f>
        <v>952.07100000000003</v>
      </c>
      <c r="F154" s="17">
        <f t="shared" ref="F154:H154" si="150">F158+F162+F166+F170</f>
        <v>1313.559</v>
      </c>
      <c r="G154" s="17">
        <f t="shared" si="150"/>
        <v>1305.7190000000001</v>
      </c>
      <c r="H154" s="17">
        <f t="shared" si="150"/>
        <v>2765.5460000000003</v>
      </c>
      <c r="I154" s="15">
        <f>I158+I162+I166+I170</f>
        <v>7724.7130000000006</v>
      </c>
      <c r="J154" s="17">
        <f t="shared" ref="J154:M154" si="151">J158+J162+J166+J170</f>
        <v>952.07100000000003</v>
      </c>
      <c r="K154" s="17">
        <f t="shared" si="151"/>
        <v>1313.559</v>
      </c>
      <c r="L154" s="17">
        <f t="shared" si="151"/>
        <v>3695.319</v>
      </c>
      <c r="M154" s="17">
        <f t="shared" si="151"/>
        <v>3763.7640000000001</v>
      </c>
      <c r="N154" s="15">
        <f t="shared" si="137"/>
        <v>1387.8180000000002</v>
      </c>
      <c r="O154" s="17">
        <f t="shared" si="138"/>
        <v>0</v>
      </c>
      <c r="P154" s="17">
        <f t="shared" si="139"/>
        <v>0</v>
      </c>
      <c r="Q154" s="17">
        <f t="shared" si="140"/>
        <v>2389.6</v>
      </c>
      <c r="R154" s="17">
        <f t="shared" si="141"/>
        <v>998.21799999999985</v>
      </c>
      <c r="S154" s="18">
        <f t="shared" si="146"/>
        <v>1.2190059958386561</v>
      </c>
      <c r="T154" s="20">
        <f t="shared" si="147"/>
        <v>1</v>
      </c>
      <c r="U154" s="20">
        <f t="shared" si="148"/>
        <v>1</v>
      </c>
      <c r="V154" s="20">
        <f t="shared" si="142"/>
        <v>2.8301028015981999</v>
      </c>
      <c r="W154" s="20">
        <f t="shared" si="149"/>
        <v>1.3609478923872536</v>
      </c>
      <c r="X154" s="202"/>
    </row>
    <row r="155" spans="1:24" ht="36" customHeight="1" x14ac:dyDescent="0.25">
      <c r="A155" s="203"/>
      <c r="B155" s="204" t="s">
        <v>70</v>
      </c>
      <c r="C155" s="158" t="s">
        <v>1</v>
      </c>
      <c r="D155" s="46">
        <f t="shared" ref="D155:D158" si="152">E155+F155+G155+H155</f>
        <v>0</v>
      </c>
      <c r="E155" s="45">
        <v>0</v>
      </c>
      <c r="F155" s="45">
        <v>0</v>
      </c>
      <c r="G155" s="45">
        <v>0</v>
      </c>
      <c r="H155" s="45">
        <v>0</v>
      </c>
      <c r="I155" s="46">
        <f t="shared" ref="I155:I157" si="153">J155+K155+L155+M155</f>
        <v>0</v>
      </c>
      <c r="J155" s="45">
        <v>0</v>
      </c>
      <c r="K155" s="20">
        <v>0</v>
      </c>
      <c r="L155" s="20">
        <v>0</v>
      </c>
      <c r="M155" s="20">
        <v>0</v>
      </c>
      <c r="N155" s="46">
        <f t="shared" si="137"/>
        <v>0</v>
      </c>
      <c r="O155" s="45">
        <f t="shared" si="138"/>
        <v>0</v>
      </c>
      <c r="P155" s="45">
        <f t="shared" si="139"/>
        <v>0</v>
      </c>
      <c r="Q155" s="45">
        <f t="shared" si="140"/>
        <v>0</v>
      </c>
      <c r="R155" s="45">
        <f t="shared" si="141"/>
        <v>0</v>
      </c>
      <c r="S155" s="18">
        <v>0</v>
      </c>
      <c r="T155" s="20">
        <v>0</v>
      </c>
      <c r="U155" s="20" t="e">
        <f t="shared" si="148"/>
        <v>#DIV/0!</v>
      </c>
      <c r="V155" s="20" t="e">
        <f t="shared" si="142"/>
        <v>#DIV/0!</v>
      </c>
      <c r="W155" s="20" t="e">
        <f t="shared" si="149"/>
        <v>#DIV/0!</v>
      </c>
      <c r="X155" s="194"/>
    </row>
    <row r="156" spans="1:24" ht="36" customHeight="1" x14ac:dyDescent="0.25">
      <c r="A156" s="203"/>
      <c r="B156" s="204"/>
      <c r="C156" s="158" t="s">
        <v>2</v>
      </c>
      <c r="D156" s="46">
        <f t="shared" si="152"/>
        <v>0</v>
      </c>
      <c r="E156" s="45">
        <v>0</v>
      </c>
      <c r="F156" s="45">
        <v>0</v>
      </c>
      <c r="G156" s="45">
        <v>0</v>
      </c>
      <c r="H156" s="45">
        <v>0</v>
      </c>
      <c r="I156" s="46">
        <f t="shared" si="153"/>
        <v>0</v>
      </c>
      <c r="J156" s="45">
        <v>0</v>
      </c>
      <c r="K156" s="20">
        <v>0</v>
      </c>
      <c r="L156" s="20">
        <v>0</v>
      </c>
      <c r="M156" s="20">
        <v>0</v>
      </c>
      <c r="N156" s="46">
        <f t="shared" si="137"/>
        <v>0</v>
      </c>
      <c r="O156" s="45">
        <f t="shared" si="138"/>
        <v>0</v>
      </c>
      <c r="P156" s="45">
        <f t="shared" si="139"/>
        <v>0</v>
      </c>
      <c r="Q156" s="45">
        <f t="shared" si="140"/>
        <v>0</v>
      </c>
      <c r="R156" s="45">
        <f t="shared" si="141"/>
        <v>0</v>
      </c>
      <c r="S156" s="18">
        <v>0</v>
      </c>
      <c r="T156" s="20">
        <v>0</v>
      </c>
      <c r="U156" s="20" t="e">
        <f t="shared" si="148"/>
        <v>#DIV/0!</v>
      </c>
      <c r="V156" s="20" t="e">
        <f t="shared" si="142"/>
        <v>#DIV/0!</v>
      </c>
      <c r="W156" s="20" t="e">
        <f t="shared" si="149"/>
        <v>#DIV/0!</v>
      </c>
      <c r="X156" s="195"/>
    </row>
    <row r="157" spans="1:24" ht="36" customHeight="1" x14ac:dyDescent="0.25">
      <c r="A157" s="203"/>
      <c r="B157" s="204"/>
      <c r="C157" s="158" t="s">
        <v>4</v>
      </c>
      <c r="D157" s="46">
        <f t="shared" si="152"/>
        <v>5371.8950000000004</v>
      </c>
      <c r="E157" s="49">
        <v>952.07100000000003</v>
      </c>
      <c r="F157" s="49">
        <v>1313.559</v>
      </c>
      <c r="G157" s="49">
        <v>1305.7190000000001</v>
      </c>
      <c r="H157" s="49">
        <v>1800.546</v>
      </c>
      <c r="I157" s="46">
        <f t="shared" si="153"/>
        <v>5370.1130000000003</v>
      </c>
      <c r="J157" s="49">
        <v>952.07100000000003</v>
      </c>
      <c r="K157" s="49">
        <v>1313.559</v>
      </c>
      <c r="L157" s="49">
        <v>1305.7190000000001</v>
      </c>
      <c r="M157" s="49">
        <v>1798.7639999999999</v>
      </c>
      <c r="N157" s="46">
        <f t="shared" si="137"/>
        <v>-1.7820000000001528</v>
      </c>
      <c r="O157" s="45">
        <f t="shared" si="138"/>
        <v>0</v>
      </c>
      <c r="P157" s="45">
        <f t="shared" si="139"/>
        <v>0</v>
      </c>
      <c r="Q157" s="45">
        <f t="shared" si="140"/>
        <v>0</v>
      </c>
      <c r="R157" s="45">
        <f t="shared" si="141"/>
        <v>-1.7820000000001528</v>
      </c>
      <c r="S157" s="18">
        <f t="shared" si="146"/>
        <v>0.99966827348635812</v>
      </c>
      <c r="T157" s="20">
        <f t="shared" si="147"/>
        <v>1</v>
      </c>
      <c r="U157" s="20">
        <f t="shared" si="148"/>
        <v>1</v>
      </c>
      <c r="V157" s="20">
        <f t="shared" si="142"/>
        <v>1</v>
      </c>
      <c r="W157" s="20">
        <f t="shared" si="149"/>
        <v>0.99901030020893655</v>
      </c>
      <c r="X157" s="195"/>
    </row>
    <row r="158" spans="1:24" ht="36" customHeight="1" x14ac:dyDescent="0.25">
      <c r="A158" s="203"/>
      <c r="B158" s="204"/>
      <c r="C158" s="158" t="s">
        <v>20</v>
      </c>
      <c r="D158" s="46">
        <f t="shared" si="152"/>
        <v>5371.8950000000004</v>
      </c>
      <c r="E158" s="49">
        <f>E155+E156+E157</f>
        <v>952.07100000000003</v>
      </c>
      <c r="F158" s="49">
        <f t="shared" ref="F158:M158" si="154">F155+F156+F157</f>
        <v>1313.559</v>
      </c>
      <c r="G158" s="49">
        <f t="shared" si="154"/>
        <v>1305.7190000000001</v>
      </c>
      <c r="H158" s="49">
        <f t="shared" si="154"/>
        <v>1800.546</v>
      </c>
      <c r="I158" s="121">
        <f t="shared" si="154"/>
        <v>5370.1130000000003</v>
      </c>
      <c r="J158" s="49">
        <f t="shared" si="154"/>
        <v>952.07100000000003</v>
      </c>
      <c r="K158" s="49">
        <f t="shared" si="154"/>
        <v>1313.559</v>
      </c>
      <c r="L158" s="49">
        <f t="shared" si="154"/>
        <v>1305.7190000000001</v>
      </c>
      <c r="M158" s="49">
        <f t="shared" si="154"/>
        <v>1798.7639999999999</v>
      </c>
      <c r="N158" s="46">
        <f t="shared" si="137"/>
        <v>-1.7820000000001528</v>
      </c>
      <c r="O158" s="45">
        <f t="shared" si="138"/>
        <v>0</v>
      </c>
      <c r="P158" s="45">
        <f t="shared" si="139"/>
        <v>0</v>
      </c>
      <c r="Q158" s="45">
        <f t="shared" si="140"/>
        <v>0</v>
      </c>
      <c r="R158" s="45">
        <f t="shared" si="141"/>
        <v>-1.7820000000001528</v>
      </c>
      <c r="S158" s="18">
        <f t="shared" si="146"/>
        <v>0.99966827348635812</v>
      </c>
      <c r="T158" s="20">
        <f t="shared" si="147"/>
        <v>1</v>
      </c>
      <c r="U158" s="20">
        <f t="shared" si="148"/>
        <v>1</v>
      </c>
      <c r="V158" s="20">
        <f t="shared" si="142"/>
        <v>1</v>
      </c>
      <c r="W158" s="20">
        <f t="shared" si="149"/>
        <v>0.99901030020893655</v>
      </c>
      <c r="X158" s="196"/>
    </row>
    <row r="159" spans="1:24" ht="36" customHeight="1" x14ac:dyDescent="0.25">
      <c r="A159" s="197">
        <v>11</v>
      </c>
      <c r="B159" s="204" t="s">
        <v>71</v>
      </c>
      <c r="C159" s="158" t="s">
        <v>1</v>
      </c>
      <c r="D159" s="15">
        <f t="shared" si="135"/>
        <v>373.05380000000002</v>
      </c>
      <c r="E159" s="17">
        <v>0</v>
      </c>
      <c r="F159" s="17">
        <v>0</v>
      </c>
      <c r="G159" s="192">
        <v>373.05380000000002</v>
      </c>
      <c r="H159" s="17">
        <v>0</v>
      </c>
      <c r="I159" s="15">
        <f t="shared" si="136"/>
        <v>373.05380000000002</v>
      </c>
      <c r="J159" s="17">
        <v>0</v>
      </c>
      <c r="K159" s="17">
        <v>0</v>
      </c>
      <c r="L159" s="192">
        <v>373.05380000000002</v>
      </c>
      <c r="M159" s="17">
        <v>0</v>
      </c>
      <c r="N159" s="15">
        <f t="shared" si="137"/>
        <v>0</v>
      </c>
      <c r="O159" s="17">
        <f t="shared" si="138"/>
        <v>0</v>
      </c>
      <c r="P159" s="17">
        <f t="shared" si="139"/>
        <v>0</v>
      </c>
      <c r="Q159" s="17">
        <f t="shared" si="140"/>
        <v>0</v>
      </c>
      <c r="R159" s="17">
        <f t="shared" si="141"/>
        <v>0</v>
      </c>
      <c r="S159" s="18">
        <f t="shared" si="146"/>
        <v>1</v>
      </c>
      <c r="T159" s="20" t="s">
        <v>126</v>
      </c>
      <c r="U159" s="20" t="s">
        <v>126</v>
      </c>
      <c r="V159" s="20">
        <f t="shared" si="142"/>
        <v>1</v>
      </c>
      <c r="W159" s="20" t="s">
        <v>126</v>
      </c>
      <c r="X159" s="194"/>
    </row>
    <row r="160" spans="1:24" ht="36" customHeight="1" x14ac:dyDescent="0.25">
      <c r="A160" s="198"/>
      <c r="B160" s="204"/>
      <c r="C160" s="158" t="s">
        <v>2</v>
      </c>
      <c r="D160" s="15">
        <f t="shared" si="135"/>
        <v>650.12620000000004</v>
      </c>
      <c r="E160" s="17">
        <v>0</v>
      </c>
      <c r="F160" s="17">
        <v>0</v>
      </c>
      <c r="G160" s="192">
        <v>650.12620000000004</v>
      </c>
      <c r="H160" s="17">
        <v>0</v>
      </c>
      <c r="I160" s="15">
        <f t="shared" si="136"/>
        <v>650.12620000000004</v>
      </c>
      <c r="J160" s="17">
        <v>0</v>
      </c>
      <c r="K160" s="17">
        <v>0</v>
      </c>
      <c r="L160" s="192">
        <v>650.12620000000004</v>
      </c>
      <c r="M160" s="17">
        <v>0</v>
      </c>
      <c r="N160" s="15">
        <f t="shared" si="137"/>
        <v>0</v>
      </c>
      <c r="O160" s="17">
        <f t="shared" si="138"/>
        <v>0</v>
      </c>
      <c r="P160" s="17">
        <f t="shared" si="139"/>
        <v>0</v>
      </c>
      <c r="Q160" s="17">
        <f t="shared" si="140"/>
        <v>0</v>
      </c>
      <c r="R160" s="17">
        <f t="shared" si="141"/>
        <v>0</v>
      </c>
      <c r="S160" s="18">
        <f t="shared" si="146"/>
        <v>1</v>
      </c>
      <c r="T160" s="20" t="s">
        <v>126</v>
      </c>
      <c r="U160" s="20" t="s">
        <v>126</v>
      </c>
      <c r="V160" s="20">
        <f t="shared" si="142"/>
        <v>1</v>
      </c>
      <c r="W160" s="20" t="s">
        <v>126</v>
      </c>
      <c r="X160" s="195"/>
    </row>
    <row r="161" spans="1:24" ht="36" customHeight="1" x14ac:dyDescent="0.25">
      <c r="A161" s="198"/>
      <c r="B161" s="204"/>
      <c r="C161" s="158" t="s">
        <v>4</v>
      </c>
      <c r="D161" s="15">
        <f t="shared" si="135"/>
        <v>366.42</v>
      </c>
      <c r="E161" s="17">
        <v>0</v>
      </c>
      <c r="F161" s="17">
        <v>0</v>
      </c>
      <c r="G161" s="193">
        <v>366.42</v>
      </c>
      <c r="H161" s="17">
        <v>0</v>
      </c>
      <c r="I161" s="15">
        <f t="shared" si="136"/>
        <v>366.42</v>
      </c>
      <c r="J161" s="17">
        <v>0</v>
      </c>
      <c r="K161" s="17">
        <v>0</v>
      </c>
      <c r="L161" s="193">
        <v>366.42</v>
      </c>
      <c r="M161" s="17">
        <v>0</v>
      </c>
      <c r="N161" s="15">
        <f t="shared" si="137"/>
        <v>0</v>
      </c>
      <c r="O161" s="17">
        <f t="shared" si="138"/>
        <v>0</v>
      </c>
      <c r="P161" s="17">
        <f t="shared" si="139"/>
        <v>0</v>
      </c>
      <c r="Q161" s="17">
        <f t="shared" si="140"/>
        <v>0</v>
      </c>
      <c r="R161" s="17">
        <f t="shared" si="141"/>
        <v>0</v>
      </c>
      <c r="S161" s="18">
        <f t="shared" si="146"/>
        <v>1</v>
      </c>
      <c r="T161" s="20" t="s">
        <v>126</v>
      </c>
      <c r="U161" s="20" t="s">
        <v>126</v>
      </c>
      <c r="V161" s="20">
        <f t="shared" si="142"/>
        <v>1</v>
      </c>
      <c r="W161" s="20" t="s">
        <v>126</v>
      </c>
      <c r="X161" s="195"/>
    </row>
    <row r="162" spans="1:24" ht="36" customHeight="1" x14ac:dyDescent="0.25">
      <c r="A162" s="198"/>
      <c r="B162" s="204"/>
      <c r="C162" s="158" t="s">
        <v>20</v>
      </c>
      <c r="D162" s="15">
        <f>D159+D160+D161</f>
        <v>1389.6000000000001</v>
      </c>
      <c r="E162" s="25">
        <f>E159+E160+E161</f>
        <v>0</v>
      </c>
      <c r="F162" s="25">
        <f t="shared" ref="F162:M162" si="155">F159+F160+F161</f>
        <v>0</v>
      </c>
      <c r="G162" s="25">
        <v>0</v>
      </c>
      <c r="H162" s="25">
        <f t="shared" si="155"/>
        <v>0</v>
      </c>
      <c r="I162" s="24">
        <f t="shared" si="155"/>
        <v>1389.6000000000001</v>
      </c>
      <c r="J162" s="25">
        <f t="shared" si="155"/>
        <v>0</v>
      </c>
      <c r="K162" s="25">
        <f t="shared" si="155"/>
        <v>0</v>
      </c>
      <c r="L162" s="193">
        <f>L161+L160+L159</f>
        <v>1389.6</v>
      </c>
      <c r="M162" s="25">
        <f t="shared" si="155"/>
        <v>0</v>
      </c>
      <c r="N162" s="15">
        <f t="shared" si="137"/>
        <v>0</v>
      </c>
      <c r="O162" s="17">
        <f t="shared" si="138"/>
        <v>0</v>
      </c>
      <c r="P162" s="17">
        <f t="shared" si="139"/>
        <v>0</v>
      </c>
      <c r="Q162" s="17">
        <f t="shared" si="140"/>
        <v>1389.6</v>
      </c>
      <c r="R162" s="17">
        <f t="shared" si="141"/>
        <v>0</v>
      </c>
      <c r="S162" s="18">
        <f t="shared" si="146"/>
        <v>1</v>
      </c>
      <c r="T162" s="20" t="s">
        <v>126</v>
      </c>
      <c r="U162" s="20" t="s">
        <v>126</v>
      </c>
      <c r="V162" s="20" t="s">
        <v>126</v>
      </c>
      <c r="W162" s="20" t="s">
        <v>126</v>
      </c>
      <c r="X162" s="196"/>
    </row>
    <row r="163" spans="1:24" ht="36" customHeight="1" x14ac:dyDescent="0.25">
      <c r="A163" s="198"/>
      <c r="B163" s="204" t="s">
        <v>72</v>
      </c>
      <c r="C163" s="158" t="s">
        <v>1</v>
      </c>
      <c r="D163" s="46">
        <f t="shared" ref="D163:D166" si="156">E163+F163+G163+H163</f>
        <v>0</v>
      </c>
      <c r="E163" s="45">
        <v>0</v>
      </c>
      <c r="F163" s="45">
        <v>0</v>
      </c>
      <c r="G163" s="45">
        <v>0</v>
      </c>
      <c r="H163" s="45">
        <v>0</v>
      </c>
      <c r="I163" s="46">
        <f t="shared" ref="I163:I165" si="157">J163+K163+L163+M163</f>
        <v>0</v>
      </c>
      <c r="J163" s="45">
        <v>0</v>
      </c>
      <c r="K163" s="45">
        <v>0</v>
      </c>
      <c r="L163" s="45">
        <v>0</v>
      </c>
      <c r="M163" s="45">
        <v>0</v>
      </c>
      <c r="N163" s="46">
        <f t="shared" si="137"/>
        <v>0</v>
      </c>
      <c r="O163" s="45">
        <f t="shared" si="138"/>
        <v>0</v>
      </c>
      <c r="P163" s="45">
        <f t="shared" si="139"/>
        <v>0</v>
      </c>
      <c r="Q163" s="45">
        <f t="shared" si="140"/>
        <v>0</v>
      </c>
      <c r="R163" s="45">
        <f t="shared" si="141"/>
        <v>0</v>
      </c>
      <c r="S163" s="18">
        <v>0</v>
      </c>
      <c r="T163" s="20" t="s">
        <v>126</v>
      </c>
      <c r="U163" s="20" t="s">
        <v>126</v>
      </c>
      <c r="V163" s="20" t="s">
        <v>126</v>
      </c>
      <c r="W163" s="20" t="s">
        <v>126</v>
      </c>
      <c r="X163" s="194"/>
    </row>
    <row r="164" spans="1:24" ht="36" customHeight="1" x14ac:dyDescent="0.25">
      <c r="A164" s="198"/>
      <c r="B164" s="204"/>
      <c r="C164" s="158" t="s">
        <v>2</v>
      </c>
      <c r="D164" s="46">
        <f t="shared" si="156"/>
        <v>868.5</v>
      </c>
      <c r="E164" s="45">
        <v>0</v>
      </c>
      <c r="F164" s="45">
        <v>0</v>
      </c>
      <c r="G164" s="45">
        <v>0</v>
      </c>
      <c r="H164" s="45">
        <v>868.5</v>
      </c>
      <c r="I164" s="46">
        <f t="shared" si="157"/>
        <v>868.5</v>
      </c>
      <c r="J164" s="45">
        <v>0</v>
      </c>
      <c r="K164" s="45">
        <v>0</v>
      </c>
      <c r="L164" s="45">
        <v>0</v>
      </c>
      <c r="M164" s="47">
        <v>868.5</v>
      </c>
      <c r="N164" s="46">
        <f t="shared" si="137"/>
        <v>0</v>
      </c>
      <c r="O164" s="45">
        <f t="shared" si="138"/>
        <v>0</v>
      </c>
      <c r="P164" s="45">
        <f t="shared" si="139"/>
        <v>0</v>
      </c>
      <c r="Q164" s="45">
        <f t="shared" si="140"/>
        <v>0</v>
      </c>
      <c r="R164" s="45">
        <f t="shared" si="141"/>
        <v>0</v>
      </c>
      <c r="S164" s="18">
        <f t="shared" si="146"/>
        <v>1</v>
      </c>
      <c r="T164" s="20" t="s">
        <v>126</v>
      </c>
      <c r="U164" s="20" t="s">
        <v>126</v>
      </c>
      <c r="V164" s="20" t="s">
        <v>126</v>
      </c>
      <c r="W164" s="20" t="s">
        <v>126</v>
      </c>
      <c r="X164" s="195"/>
    </row>
    <row r="165" spans="1:24" ht="36" customHeight="1" x14ac:dyDescent="0.25">
      <c r="A165" s="198"/>
      <c r="B165" s="204"/>
      <c r="C165" s="158" t="s">
        <v>4</v>
      </c>
      <c r="D165" s="46">
        <f t="shared" si="156"/>
        <v>96.5</v>
      </c>
      <c r="E165" s="191">
        <v>0</v>
      </c>
      <c r="F165" s="191">
        <v>0</v>
      </c>
      <c r="G165" s="191">
        <v>0</v>
      </c>
      <c r="H165" s="191">
        <v>96.5</v>
      </c>
      <c r="I165" s="46">
        <f t="shared" si="157"/>
        <v>96.5</v>
      </c>
      <c r="J165" s="191">
        <v>0</v>
      </c>
      <c r="K165" s="191">
        <v>0</v>
      </c>
      <c r="L165" s="191">
        <v>0</v>
      </c>
      <c r="M165" s="191">
        <v>96.5</v>
      </c>
      <c r="N165" s="46">
        <f t="shared" si="137"/>
        <v>0</v>
      </c>
      <c r="O165" s="45">
        <f t="shared" si="138"/>
        <v>0</v>
      </c>
      <c r="P165" s="45">
        <f t="shared" si="139"/>
        <v>0</v>
      </c>
      <c r="Q165" s="45">
        <f t="shared" si="140"/>
        <v>0</v>
      </c>
      <c r="R165" s="45">
        <f t="shared" si="141"/>
        <v>0</v>
      </c>
      <c r="S165" s="18">
        <f t="shared" si="146"/>
        <v>1</v>
      </c>
      <c r="T165" s="20" t="s">
        <v>126</v>
      </c>
      <c r="U165" s="20" t="s">
        <v>126</v>
      </c>
      <c r="V165" s="20" t="s">
        <v>126</v>
      </c>
      <c r="W165" s="20" t="s">
        <v>126</v>
      </c>
      <c r="X165" s="196"/>
    </row>
    <row r="166" spans="1:24" ht="36" customHeight="1" x14ac:dyDescent="0.25">
      <c r="A166" s="198"/>
      <c r="B166" s="204"/>
      <c r="C166" s="158" t="s">
        <v>20</v>
      </c>
      <c r="D166" s="46">
        <f t="shared" si="156"/>
        <v>965</v>
      </c>
      <c r="E166" s="49">
        <f>E163+E164+E165</f>
        <v>0</v>
      </c>
      <c r="F166" s="49">
        <f t="shared" ref="F166:M166" si="158">F163+F164+F165</f>
        <v>0</v>
      </c>
      <c r="G166" s="49">
        <f t="shared" si="158"/>
        <v>0</v>
      </c>
      <c r="H166" s="49">
        <f t="shared" si="158"/>
        <v>965</v>
      </c>
      <c r="I166" s="121">
        <f t="shared" si="158"/>
        <v>965</v>
      </c>
      <c r="J166" s="49">
        <f t="shared" si="158"/>
        <v>0</v>
      </c>
      <c r="K166" s="49">
        <f t="shared" si="158"/>
        <v>0</v>
      </c>
      <c r="L166" s="49">
        <f t="shared" si="158"/>
        <v>0</v>
      </c>
      <c r="M166" s="49">
        <f t="shared" si="158"/>
        <v>965</v>
      </c>
      <c r="N166" s="46">
        <f t="shared" si="137"/>
        <v>0</v>
      </c>
      <c r="O166" s="45">
        <f t="shared" si="138"/>
        <v>0</v>
      </c>
      <c r="P166" s="45">
        <f t="shared" si="139"/>
        <v>0</v>
      </c>
      <c r="Q166" s="45">
        <f t="shared" si="140"/>
        <v>0</v>
      </c>
      <c r="R166" s="45">
        <f t="shared" si="141"/>
        <v>0</v>
      </c>
      <c r="S166" s="18">
        <f t="shared" si="146"/>
        <v>1</v>
      </c>
      <c r="T166" s="20" t="s">
        <v>126</v>
      </c>
      <c r="U166" s="20" t="s">
        <v>126</v>
      </c>
      <c r="V166" s="20" t="s">
        <v>126</v>
      </c>
      <c r="W166" s="20">
        <f t="shared" si="142"/>
        <v>1</v>
      </c>
      <c r="X166" s="20"/>
    </row>
    <row r="167" spans="1:24" ht="36" hidden="1" customHeight="1" x14ac:dyDescent="0.25">
      <c r="A167" s="198"/>
      <c r="B167" s="219" t="s">
        <v>29</v>
      </c>
      <c r="C167" s="158" t="s">
        <v>1</v>
      </c>
      <c r="D167" s="58">
        <f t="shared" si="135"/>
        <v>0</v>
      </c>
      <c r="E167" s="53">
        <v>0</v>
      </c>
      <c r="F167" s="53">
        <v>0</v>
      </c>
      <c r="G167" s="53">
        <v>0</v>
      </c>
      <c r="H167" s="53">
        <v>0</v>
      </c>
      <c r="I167" s="15">
        <f t="shared" ref="I167:I168" si="159">J167+K167+L167+M167</f>
        <v>0</v>
      </c>
      <c r="J167" s="53">
        <v>0</v>
      </c>
      <c r="K167" s="53">
        <v>0</v>
      </c>
      <c r="L167" s="53">
        <v>0</v>
      </c>
      <c r="M167" s="53">
        <v>0</v>
      </c>
      <c r="N167" s="15">
        <f t="shared" si="137"/>
        <v>0</v>
      </c>
      <c r="O167" s="17">
        <f t="shared" si="138"/>
        <v>0</v>
      </c>
      <c r="P167" s="17">
        <f t="shared" si="139"/>
        <v>0</v>
      </c>
      <c r="Q167" s="17">
        <f t="shared" si="140"/>
        <v>0</v>
      </c>
      <c r="R167" s="17">
        <f t="shared" si="141"/>
        <v>0</v>
      </c>
      <c r="S167" s="18" t="s">
        <v>126</v>
      </c>
      <c r="T167" s="20" t="s">
        <v>126</v>
      </c>
      <c r="U167" s="20" t="s">
        <v>126</v>
      </c>
      <c r="V167" s="20" t="s">
        <v>126</v>
      </c>
      <c r="W167" s="20" t="s">
        <v>126</v>
      </c>
      <c r="X167" s="200" t="s">
        <v>310</v>
      </c>
    </row>
    <row r="168" spans="1:24" ht="36" hidden="1" customHeight="1" x14ac:dyDescent="0.25">
      <c r="A168" s="198"/>
      <c r="B168" s="219"/>
      <c r="C168" s="158" t="s">
        <v>2</v>
      </c>
      <c r="D168" s="58">
        <f t="shared" si="135"/>
        <v>0</v>
      </c>
      <c r="E168" s="53">
        <v>0</v>
      </c>
      <c r="F168" s="53">
        <v>0</v>
      </c>
      <c r="G168" s="53">
        <v>0</v>
      </c>
      <c r="H168" s="53">
        <v>0</v>
      </c>
      <c r="I168" s="15">
        <f t="shared" si="159"/>
        <v>0</v>
      </c>
      <c r="J168" s="53">
        <v>0</v>
      </c>
      <c r="K168" s="53">
        <v>0</v>
      </c>
      <c r="L168" s="53">
        <v>0</v>
      </c>
      <c r="M168" s="53">
        <v>0</v>
      </c>
      <c r="N168" s="15">
        <f t="shared" si="137"/>
        <v>0</v>
      </c>
      <c r="O168" s="17">
        <f t="shared" si="138"/>
        <v>0</v>
      </c>
      <c r="P168" s="17">
        <f t="shared" si="139"/>
        <v>0</v>
      </c>
      <c r="Q168" s="17">
        <f t="shared" si="140"/>
        <v>0</v>
      </c>
      <c r="R168" s="17">
        <f t="shared" si="141"/>
        <v>0</v>
      </c>
      <c r="S168" s="18" t="s">
        <v>126</v>
      </c>
      <c r="T168" s="20" t="s">
        <v>126</v>
      </c>
      <c r="U168" s="20" t="s">
        <v>126</v>
      </c>
      <c r="V168" s="20" t="s">
        <v>126</v>
      </c>
      <c r="W168" s="20" t="s">
        <v>126</v>
      </c>
      <c r="X168" s="201"/>
    </row>
    <row r="169" spans="1:24" ht="36" hidden="1" customHeight="1" x14ac:dyDescent="0.25">
      <c r="A169" s="198"/>
      <c r="B169" s="219"/>
      <c r="C169" s="158" t="s">
        <v>4</v>
      </c>
      <c r="D169" s="58">
        <v>0</v>
      </c>
      <c r="E169" s="53">
        <v>0</v>
      </c>
      <c r="F169" s="25">
        <v>0</v>
      </c>
      <c r="G169" s="53">
        <v>0</v>
      </c>
      <c r="H169" s="53">
        <v>0</v>
      </c>
      <c r="I169" s="15">
        <v>0</v>
      </c>
      <c r="J169" s="53">
        <v>0</v>
      </c>
      <c r="K169" s="25">
        <v>0</v>
      </c>
      <c r="L169" s="25">
        <v>1000</v>
      </c>
      <c r="M169" s="25">
        <v>1000</v>
      </c>
      <c r="N169" s="15">
        <f t="shared" si="137"/>
        <v>0</v>
      </c>
      <c r="O169" s="17">
        <f t="shared" si="138"/>
        <v>0</v>
      </c>
      <c r="P169" s="17">
        <f t="shared" si="139"/>
        <v>0</v>
      </c>
      <c r="Q169" s="17">
        <v>0</v>
      </c>
      <c r="R169" s="17">
        <v>0</v>
      </c>
      <c r="S169" s="18" t="s">
        <v>126</v>
      </c>
      <c r="T169" s="20" t="s">
        <v>126</v>
      </c>
      <c r="U169" s="20" t="e">
        <f t="shared" ref="U169:U170" si="160">K169/F169</f>
        <v>#DIV/0!</v>
      </c>
      <c r="V169" s="20" t="s">
        <v>126</v>
      </c>
      <c r="W169" s="20" t="s">
        <v>126</v>
      </c>
      <c r="X169" s="201"/>
    </row>
    <row r="170" spans="1:24" ht="36" hidden="1" customHeight="1" x14ac:dyDescent="0.25">
      <c r="A170" s="199"/>
      <c r="B170" s="219"/>
      <c r="C170" s="158" t="s">
        <v>20</v>
      </c>
      <c r="D170" s="58">
        <v>0</v>
      </c>
      <c r="E170" s="53">
        <f>E167+E168+E169</f>
        <v>0</v>
      </c>
      <c r="F170" s="25">
        <v>0</v>
      </c>
      <c r="G170" s="25">
        <f t="shared" ref="G170:M170" si="161">G167+G168+G169</f>
        <v>0</v>
      </c>
      <c r="H170" s="25">
        <f t="shared" si="161"/>
        <v>0</v>
      </c>
      <c r="I170" s="24">
        <v>0</v>
      </c>
      <c r="J170" s="25">
        <f t="shared" si="161"/>
        <v>0</v>
      </c>
      <c r="K170" s="25">
        <v>0</v>
      </c>
      <c r="L170" s="25">
        <f t="shared" si="161"/>
        <v>1000</v>
      </c>
      <c r="M170" s="25">
        <f t="shared" si="161"/>
        <v>1000</v>
      </c>
      <c r="N170" s="15">
        <f t="shared" si="137"/>
        <v>0</v>
      </c>
      <c r="O170" s="17">
        <f t="shared" si="138"/>
        <v>0</v>
      </c>
      <c r="P170" s="17">
        <f t="shared" si="139"/>
        <v>0</v>
      </c>
      <c r="Q170" s="17">
        <v>0</v>
      </c>
      <c r="R170" s="17">
        <v>0</v>
      </c>
      <c r="S170" s="18" t="s">
        <v>126</v>
      </c>
      <c r="T170" s="20" t="s">
        <v>126</v>
      </c>
      <c r="U170" s="20" t="e">
        <f t="shared" si="160"/>
        <v>#DIV/0!</v>
      </c>
      <c r="V170" s="20" t="s">
        <v>126</v>
      </c>
      <c r="W170" s="20" t="s">
        <v>126</v>
      </c>
      <c r="X170" s="202"/>
    </row>
    <row r="171" spans="1:24" ht="36" customHeight="1" x14ac:dyDescent="0.25">
      <c r="A171" s="203">
        <v>12</v>
      </c>
      <c r="B171" s="204" t="s">
        <v>37</v>
      </c>
      <c r="C171" s="158" t="s">
        <v>1</v>
      </c>
      <c r="D171" s="15">
        <f>D175</f>
        <v>10667.12516</v>
      </c>
      <c r="E171" s="16">
        <v>0</v>
      </c>
      <c r="F171" s="16">
        <v>0</v>
      </c>
      <c r="G171" s="16">
        <v>0</v>
      </c>
      <c r="H171" s="16">
        <v>0</v>
      </c>
      <c r="I171" s="15">
        <f t="shared" si="136"/>
        <v>10609.84</v>
      </c>
      <c r="J171" s="16">
        <f>J175+J183</f>
        <v>674.26</v>
      </c>
      <c r="K171" s="16">
        <f t="shared" ref="K171:M171" si="162">K175+K183</f>
        <v>664.94299999999998</v>
      </c>
      <c r="L171" s="16">
        <f t="shared" si="162"/>
        <v>1453.3130000000001</v>
      </c>
      <c r="M171" s="16">
        <f t="shared" si="162"/>
        <v>7817.3239999999996</v>
      </c>
      <c r="N171" s="15">
        <f t="shared" si="137"/>
        <v>-57.285159999999451</v>
      </c>
      <c r="O171" s="17">
        <f t="shared" ref="O171:O174" si="163">J171-E171</f>
        <v>674.26</v>
      </c>
      <c r="P171" s="17">
        <f t="shared" ref="P171:P174" si="164">K171-F171</f>
        <v>664.94299999999998</v>
      </c>
      <c r="Q171" s="17">
        <f t="shared" ref="Q171:Q174" si="165">L171-G171</f>
        <v>1453.3130000000001</v>
      </c>
      <c r="R171" s="17">
        <f t="shared" ref="R171:R174" si="166">M171-H171</f>
        <v>7817.3239999999996</v>
      </c>
      <c r="S171" s="18">
        <f t="shared" si="146"/>
        <v>0.99462974708360885</v>
      </c>
      <c r="T171" s="20" t="s">
        <v>126</v>
      </c>
      <c r="U171" s="20" t="s">
        <v>126</v>
      </c>
      <c r="V171" s="20" t="s">
        <v>126</v>
      </c>
      <c r="W171" s="20" t="s">
        <v>126</v>
      </c>
      <c r="X171" s="158"/>
    </row>
    <row r="172" spans="1:24" ht="36" customHeight="1" x14ac:dyDescent="0.25">
      <c r="A172" s="203"/>
      <c r="B172" s="204"/>
      <c r="C172" s="158" t="s">
        <v>2</v>
      </c>
      <c r="D172" s="15">
        <f>D176+D184</f>
        <v>40237.549330000002</v>
      </c>
      <c r="E172" s="16">
        <v>0</v>
      </c>
      <c r="F172" s="16">
        <v>0</v>
      </c>
      <c r="G172" s="16">
        <v>0</v>
      </c>
      <c r="H172" s="16">
        <v>0</v>
      </c>
      <c r="I172" s="15">
        <f t="shared" si="136"/>
        <v>40218.476000000002</v>
      </c>
      <c r="J172" s="16">
        <f t="shared" ref="J172:M174" si="167">J176+J184</f>
        <v>3698.25</v>
      </c>
      <c r="K172" s="16">
        <f t="shared" si="167"/>
        <v>8336.0509999999995</v>
      </c>
      <c r="L172" s="16">
        <f t="shared" si="167"/>
        <v>8467.2559999999994</v>
      </c>
      <c r="M172" s="16">
        <f t="shared" si="167"/>
        <v>19716.919000000002</v>
      </c>
      <c r="N172" s="15">
        <f t="shared" si="137"/>
        <v>-19.07332999999926</v>
      </c>
      <c r="O172" s="17">
        <f t="shared" si="163"/>
        <v>3698.25</v>
      </c>
      <c r="P172" s="17">
        <f t="shared" si="164"/>
        <v>8336.0509999999995</v>
      </c>
      <c r="Q172" s="17">
        <f t="shared" si="165"/>
        <v>8467.2559999999994</v>
      </c>
      <c r="R172" s="17">
        <f t="shared" si="166"/>
        <v>19716.919000000002</v>
      </c>
      <c r="S172" s="18">
        <f t="shared" si="146"/>
        <v>0.99952598181754126</v>
      </c>
      <c r="T172" s="20" t="s">
        <v>126</v>
      </c>
      <c r="U172" s="20" t="s">
        <v>126</v>
      </c>
      <c r="V172" s="20" t="s">
        <v>126</v>
      </c>
      <c r="W172" s="20" t="s">
        <v>126</v>
      </c>
      <c r="X172" s="158"/>
    </row>
    <row r="173" spans="1:24" ht="36" customHeight="1" x14ac:dyDescent="0.25">
      <c r="A173" s="203"/>
      <c r="B173" s="204"/>
      <c r="C173" s="158" t="s">
        <v>4</v>
      </c>
      <c r="D173" s="15">
        <f>D177+D185+D181</f>
        <v>64367.644849999997</v>
      </c>
      <c r="E173" s="16">
        <v>0</v>
      </c>
      <c r="F173" s="16">
        <v>0</v>
      </c>
      <c r="G173" s="16">
        <v>0</v>
      </c>
      <c r="H173" s="16">
        <v>0</v>
      </c>
      <c r="I173" s="15">
        <f t="shared" si="136"/>
        <v>64360.657439999995</v>
      </c>
      <c r="J173" s="57">
        <f>J177+J185+J181</f>
        <v>18364.62</v>
      </c>
      <c r="K173" s="16">
        <f t="shared" si="167"/>
        <v>18225.769</v>
      </c>
      <c r="L173" s="16">
        <f t="shared" si="167"/>
        <v>12211.177439999999</v>
      </c>
      <c r="M173" s="16">
        <f t="shared" si="167"/>
        <v>15559.091</v>
      </c>
      <c r="N173" s="15">
        <f>I173-D173</f>
        <v>-6.987410000001546</v>
      </c>
      <c r="O173" s="17">
        <f t="shared" si="163"/>
        <v>18364.62</v>
      </c>
      <c r="P173" s="17">
        <f t="shared" si="164"/>
        <v>18225.769</v>
      </c>
      <c r="Q173" s="17">
        <f t="shared" si="165"/>
        <v>12211.177439999999</v>
      </c>
      <c r="R173" s="17">
        <f t="shared" si="166"/>
        <v>15559.091</v>
      </c>
      <c r="S173" s="18">
        <f t="shared" si="146"/>
        <v>0.99989144530584761</v>
      </c>
      <c r="T173" s="20" t="s">
        <v>126</v>
      </c>
      <c r="U173" s="20" t="s">
        <v>126</v>
      </c>
      <c r="V173" s="20" t="s">
        <v>126</v>
      </c>
      <c r="W173" s="20" t="s">
        <v>126</v>
      </c>
      <c r="X173" s="158"/>
    </row>
    <row r="174" spans="1:24" ht="36" customHeight="1" x14ac:dyDescent="0.25">
      <c r="A174" s="203"/>
      <c r="B174" s="204"/>
      <c r="C174" s="158" t="s">
        <v>21</v>
      </c>
      <c r="D174" s="15">
        <f>D178+D186+D182</f>
        <v>115272.31934</v>
      </c>
      <c r="E174" s="16">
        <v>0</v>
      </c>
      <c r="F174" s="16">
        <v>0</v>
      </c>
      <c r="G174" s="16">
        <v>0</v>
      </c>
      <c r="H174" s="16">
        <v>0</v>
      </c>
      <c r="I174" s="15">
        <f>J174+K174+L174+M174</f>
        <v>115188.97344</v>
      </c>
      <c r="J174" s="57">
        <f>J178+J186+J182</f>
        <v>22737.13</v>
      </c>
      <c r="K174" s="16">
        <f t="shared" si="167"/>
        <v>27226.762999999999</v>
      </c>
      <c r="L174" s="16">
        <f t="shared" si="167"/>
        <v>22131.746440000003</v>
      </c>
      <c r="M174" s="16">
        <f t="shared" si="167"/>
        <v>43093.334000000003</v>
      </c>
      <c r="N174" s="15">
        <f t="shared" si="137"/>
        <v>-83.345900000000256</v>
      </c>
      <c r="O174" s="17">
        <f t="shared" si="163"/>
        <v>22737.13</v>
      </c>
      <c r="P174" s="17">
        <f t="shared" si="164"/>
        <v>27226.762999999999</v>
      </c>
      <c r="Q174" s="17">
        <f t="shared" si="165"/>
        <v>22131.746440000003</v>
      </c>
      <c r="R174" s="17">
        <f t="shared" si="166"/>
        <v>43093.334000000003</v>
      </c>
      <c r="S174" s="18">
        <f t="shared" si="146"/>
        <v>0.99927696518576881</v>
      </c>
      <c r="T174" s="20" t="s">
        <v>126</v>
      </c>
      <c r="U174" s="20" t="s">
        <v>126</v>
      </c>
      <c r="V174" s="20" t="s">
        <v>126</v>
      </c>
      <c r="W174" s="20" t="s">
        <v>126</v>
      </c>
      <c r="X174" s="158"/>
    </row>
    <row r="175" spans="1:24" ht="36" customHeight="1" x14ac:dyDescent="0.25">
      <c r="A175" s="203"/>
      <c r="B175" s="216" t="s">
        <v>73</v>
      </c>
      <c r="C175" s="89" t="s">
        <v>1</v>
      </c>
      <c r="D175" s="165">
        <v>10667.12516</v>
      </c>
      <c r="E175" s="16">
        <v>0</v>
      </c>
      <c r="F175" s="16">
        <v>0</v>
      </c>
      <c r="G175" s="16">
        <v>0</v>
      </c>
      <c r="H175" s="16">
        <v>0</v>
      </c>
      <c r="I175" s="165">
        <f>J175+K175+L175+M175</f>
        <v>10609.84</v>
      </c>
      <c r="J175" s="5">
        <v>674.26</v>
      </c>
      <c r="K175" s="5">
        <v>664.94299999999998</v>
      </c>
      <c r="L175" s="5">
        <v>1453.3130000000001</v>
      </c>
      <c r="M175" s="5">
        <v>7817.3239999999996</v>
      </c>
      <c r="N175" s="165">
        <f t="shared" si="137"/>
        <v>-57.285159999999451</v>
      </c>
      <c r="O175" s="5">
        <f t="shared" si="137"/>
        <v>674.26</v>
      </c>
      <c r="P175" s="5">
        <f t="shared" si="137"/>
        <v>664.94299999999998</v>
      </c>
      <c r="Q175" s="5">
        <f t="shared" si="137"/>
        <v>1453.3130000000001</v>
      </c>
      <c r="R175" s="5">
        <f t="shared" si="137"/>
        <v>7817.3239999999996</v>
      </c>
      <c r="S175" s="128">
        <f t="shared" si="146"/>
        <v>0.99462974708360885</v>
      </c>
      <c r="T175" s="167"/>
      <c r="U175" s="167"/>
      <c r="V175" s="167"/>
      <c r="W175" s="167"/>
      <c r="X175" s="89"/>
    </row>
    <row r="176" spans="1:24" ht="36" customHeight="1" x14ac:dyDescent="0.25">
      <c r="A176" s="203"/>
      <c r="B176" s="216"/>
      <c r="C176" s="89" t="s">
        <v>2</v>
      </c>
      <c r="D176" s="165">
        <v>40158.97133</v>
      </c>
      <c r="E176" s="16">
        <v>0</v>
      </c>
      <c r="F176" s="16">
        <v>0</v>
      </c>
      <c r="G176" s="16">
        <v>0</v>
      </c>
      <c r="H176" s="16">
        <v>0</v>
      </c>
      <c r="I176" s="165">
        <f t="shared" ref="I176:I177" si="168">J176+K176+L176+M176</f>
        <v>40139.898000000001</v>
      </c>
      <c r="J176" s="150">
        <v>3698.25</v>
      </c>
      <c r="K176" s="150">
        <v>8336.0509999999995</v>
      </c>
      <c r="L176" s="150">
        <v>8467.2559999999994</v>
      </c>
      <c r="M176" s="150">
        <v>19638.341</v>
      </c>
      <c r="N176" s="165">
        <f t="shared" si="137"/>
        <v>-19.07332999999926</v>
      </c>
      <c r="O176" s="5">
        <f t="shared" si="137"/>
        <v>3698.25</v>
      </c>
      <c r="P176" s="5">
        <f t="shared" si="137"/>
        <v>8336.0509999999995</v>
      </c>
      <c r="Q176" s="5">
        <f t="shared" si="137"/>
        <v>8467.2559999999994</v>
      </c>
      <c r="R176" s="5">
        <f t="shared" si="137"/>
        <v>19638.341</v>
      </c>
      <c r="S176" s="128">
        <f t="shared" si="146"/>
        <v>0.99952505431866601</v>
      </c>
      <c r="T176" s="167"/>
      <c r="U176" s="167"/>
      <c r="V176" s="167"/>
      <c r="W176" s="167"/>
      <c r="X176" s="89"/>
    </row>
    <row r="177" spans="1:24" ht="36" customHeight="1" x14ac:dyDescent="0.25">
      <c r="A177" s="203"/>
      <c r="B177" s="216"/>
      <c r="C177" s="89" t="s">
        <v>4</v>
      </c>
      <c r="D177" s="165">
        <f>61147.57811-8353.9</f>
        <v>52793.678110000001</v>
      </c>
      <c r="E177" s="16">
        <v>0</v>
      </c>
      <c r="F177" s="16">
        <v>0</v>
      </c>
      <c r="G177" s="16">
        <v>0</v>
      </c>
      <c r="H177" s="16">
        <v>0</v>
      </c>
      <c r="I177" s="165">
        <f t="shared" si="168"/>
        <v>52787.707439999998</v>
      </c>
      <c r="J177" s="5">
        <v>15485.579</v>
      </c>
      <c r="K177" s="5">
        <v>15715.82</v>
      </c>
      <c r="L177" s="5">
        <v>9188.9404400000003</v>
      </c>
      <c r="M177" s="5">
        <v>12397.368</v>
      </c>
      <c r="N177" s="165">
        <f t="shared" si="137"/>
        <v>-5.9706700000024284</v>
      </c>
      <c r="O177" s="5">
        <f t="shared" si="137"/>
        <v>15485.579</v>
      </c>
      <c r="P177" s="5">
        <f t="shared" si="137"/>
        <v>15715.82</v>
      </c>
      <c r="Q177" s="5">
        <f t="shared" si="137"/>
        <v>9188.9404400000003</v>
      </c>
      <c r="R177" s="5">
        <f t="shared" si="137"/>
        <v>12397.368</v>
      </c>
      <c r="S177" s="128">
        <f t="shared" si="146"/>
        <v>0.99988690558768112</v>
      </c>
      <c r="T177" s="167"/>
      <c r="U177" s="167"/>
      <c r="V177" s="167"/>
      <c r="W177" s="167"/>
      <c r="X177" s="89"/>
    </row>
    <row r="178" spans="1:24" ht="36" customHeight="1" x14ac:dyDescent="0.25">
      <c r="A178" s="203"/>
      <c r="B178" s="216"/>
      <c r="C178" s="89" t="s">
        <v>20</v>
      </c>
      <c r="D178" s="165">
        <f>D175+D176+D177</f>
        <v>103619.7746</v>
      </c>
      <c r="E178" s="5">
        <f>E175+E176+E177</f>
        <v>0</v>
      </c>
      <c r="F178" s="5">
        <f t="shared" ref="F178:M178" si="169">F175+F176+F177</f>
        <v>0</v>
      </c>
      <c r="G178" s="5">
        <f t="shared" si="169"/>
        <v>0</v>
      </c>
      <c r="H178" s="5">
        <f t="shared" si="169"/>
        <v>0</v>
      </c>
      <c r="I178" s="165">
        <f t="shared" si="169"/>
        <v>103537.44544</v>
      </c>
      <c r="J178" s="5">
        <f t="shared" si="169"/>
        <v>19858.089</v>
      </c>
      <c r="K178" s="5">
        <f t="shared" si="169"/>
        <v>24716.813999999998</v>
      </c>
      <c r="L178" s="5">
        <f t="shared" si="169"/>
        <v>19109.509440000002</v>
      </c>
      <c r="M178" s="5">
        <f t="shared" si="169"/>
        <v>39853.033000000003</v>
      </c>
      <c r="N178" s="165">
        <f t="shared" si="137"/>
        <v>-82.329160000008414</v>
      </c>
      <c r="O178" s="5">
        <f t="shared" si="137"/>
        <v>19858.089</v>
      </c>
      <c r="P178" s="5">
        <f t="shared" si="137"/>
        <v>24716.813999999998</v>
      </c>
      <c r="Q178" s="5">
        <f t="shared" si="137"/>
        <v>19109.509440000002</v>
      </c>
      <c r="R178" s="5">
        <f t="shared" si="137"/>
        <v>39853.033000000003</v>
      </c>
      <c r="S178" s="128">
        <f t="shared" si="146"/>
        <v>0.99920546864420601</v>
      </c>
      <c r="T178" s="167"/>
      <c r="U178" s="167"/>
      <c r="V178" s="167"/>
      <c r="W178" s="167"/>
      <c r="X178" s="89"/>
    </row>
    <row r="179" spans="1:24" ht="36" customHeight="1" x14ac:dyDescent="0.25">
      <c r="A179" s="203"/>
      <c r="B179" s="216" t="s">
        <v>74</v>
      </c>
      <c r="C179" s="89" t="s">
        <v>1</v>
      </c>
      <c r="D179" s="165">
        <f t="shared" ref="D179:D180" si="170">E179+F179+G179+H179</f>
        <v>0</v>
      </c>
      <c r="E179" s="5">
        <v>0</v>
      </c>
      <c r="F179" s="5">
        <v>0</v>
      </c>
      <c r="G179" s="5">
        <v>0</v>
      </c>
      <c r="H179" s="5">
        <v>0</v>
      </c>
      <c r="I179" s="165">
        <f t="shared" ref="I179:I180" si="171">J179+K179+L179+M179</f>
        <v>0</v>
      </c>
      <c r="J179" s="5">
        <v>0</v>
      </c>
      <c r="K179" s="5">
        <v>0</v>
      </c>
      <c r="L179" s="5">
        <v>0</v>
      </c>
      <c r="M179" s="5">
        <v>0</v>
      </c>
      <c r="N179" s="165">
        <f t="shared" si="137"/>
        <v>0</v>
      </c>
      <c r="O179" s="5">
        <f t="shared" si="137"/>
        <v>0</v>
      </c>
      <c r="P179" s="5">
        <f t="shared" si="137"/>
        <v>0</v>
      </c>
      <c r="Q179" s="5">
        <f t="shared" si="137"/>
        <v>0</v>
      </c>
      <c r="R179" s="5">
        <f t="shared" si="137"/>
        <v>0</v>
      </c>
      <c r="S179" s="128"/>
      <c r="T179" s="167"/>
      <c r="U179" s="167"/>
      <c r="V179" s="167"/>
      <c r="W179" s="167"/>
      <c r="X179" s="89"/>
    </row>
    <row r="180" spans="1:24" ht="36" customHeight="1" x14ac:dyDescent="0.25">
      <c r="A180" s="203"/>
      <c r="B180" s="216"/>
      <c r="C180" s="89" t="s">
        <v>2</v>
      </c>
      <c r="D180" s="165">
        <f t="shared" si="170"/>
        <v>0</v>
      </c>
      <c r="E180" s="5">
        <v>0</v>
      </c>
      <c r="F180" s="5">
        <v>0</v>
      </c>
      <c r="G180" s="5">
        <v>0</v>
      </c>
      <c r="H180" s="5">
        <v>0</v>
      </c>
      <c r="I180" s="165">
        <f t="shared" si="171"/>
        <v>0</v>
      </c>
      <c r="J180" s="150">
        <v>0</v>
      </c>
      <c r="K180" s="150">
        <v>0</v>
      </c>
      <c r="L180" s="150">
        <v>0</v>
      </c>
      <c r="M180" s="150">
        <v>0</v>
      </c>
      <c r="N180" s="165">
        <f t="shared" si="137"/>
        <v>0</v>
      </c>
      <c r="O180" s="5">
        <f t="shared" si="137"/>
        <v>0</v>
      </c>
      <c r="P180" s="5">
        <f t="shared" si="137"/>
        <v>0</v>
      </c>
      <c r="Q180" s="5">
        <f t="shared" si="137"/>
        <v>0</v>
      </c>
      <c r="R180" s="5">
        <f t="shared" si="137"/>
        <v>0</v>
      </c>
      <c r="S180" s="128"/>
      <c r="T180" s="167"/>
      <c r="U180" s="167"/>
      <c r="V180" s="167"/>
      <c r="W180" s="167"/>
      <c r="X180" s="89"/>
    </row>
    <row r="181" spans="1:24" ht="36" customHeight="1" x14ac:dyDescent="0.25">
      <c r="A181" s="203"/>
      <c r="B181" s="216"/>
      <c r="C181" s="89" t="s">
        <v>4</v>
      </c>
      <c r="D181" s="165">
        <v>6.4660000000000002</v>
      </c>
      <c r="E181" s="5">
        <v>0</v>
      </c>
      <c r="F181" s="5">
        <v>0</v>
      </c>
      <c r="G181" s="5">
        <v>0</v>
      </c>
      <c r="H181" s="5">
        <v>0</v>
      </c>
      <c r="I181" s="165">
        <v>6.4660000000000002</v>
      </c>
      <c r="J181" s="5">
        <v>6.4660000000000002</v>
      </c>
      <c r="K181" s="150">
        <v>0</v>
      </c>
      <c r="L181" s="150">
        <v>0</v>
      </c>
      <c r="M181" s="150">
        <v>0</v>
      </c>
      <c r="N181" s="165">
        <f t="shared" si="137"/>
        <v>0</v>
      </c>
      <c r="O181" s="5">
        <f t="shared" si="137"/>
        <v>6.4660000000000002</v>
      </c>
      <c r="P181" s="5">
        <f t="shared" si="137"/>
        <v>0</v>
      </c>
      <c r="Q181" s="5">
        <f t="shared" si="137"/>
        <v>0</v>
      </c>
      <c r="R181" s="5">
        <f t="shared" si="137"/>
        <v>0</v>
      </c>
      <c r="S181" s="128">
        <f t="shared" ref="S181" si="172">I181/D181</f>
        <v>1</v>
      </c>
      <c r="T181" s="167"/>
      <c r="U181" s="167"/>
      <c r="V181" s="167"/>
      <c r="W181" s="167"/>
      <c r="X181" s="89"/>
    </row>
    <row r="182" spans="1:24" ht="36" customHeight="1" x14ac:dyDescent="0.25">
      <c r="A182" s="203"/>
      <c r="B182" s="216"/>
      <c r="C182" s="89" t="s">
        <v>20</v>
      </c>
      <c r="D182" s="165">
        <f>D181</f>
        <v>6.4660000000000002</v>
      </c>
      <c r="E182" s="150">
        <f>E179+E180+E181</f>
        <v>0</v>
      </c>
      <c r="F182" s="150">
        <f t="shared" ref="F182:M182" si="173">F179+F180+F181</f>
        <v>0</v>
      </c>
      <c r="G182" s="150">
        <f t="shared" si="173"/>
        <v>0</v>
      </c>
      <c r="H182" s="150">
        <f t="shared" si="173"/>
        <v>0</v>
      </c>
      <c r="I182" s="187">
        <f t="shared" si="173"/>
        <v>6.4660000000000002</v>
      </c>
      <c r="J182" s="150">
        <f t="shared" si="173"/>
        <v>6.4660000000000002</v>
      </c>
      <c r="K182" s="150">
        <f t="shared" si="173"/>
        <v>0</v>
      </c>
      <c r="L182" s="150">
        <f t="shared" si="173"/>
        <v>0</v>
      </c>
      <c r="M182" s="150">
        <f t="shared" si="173"/>
        <v>0</v>
      </c>
      <c r="N182" s="165">
        <f t="shared" si="137"/>
        <v>0</v>
      </c>
      <c r="O182" s="5">
        <f t="shared" si="137"/>
        <v>6.4660000000000002</v>
      </c>
      <c r="P182" s="5">
        <f t="shared" si="137"/>
        <v>0</v>
      </c>
      <c r="Q182" s="5">
        <f t="shared" si="137"/>
        <v>0</v>
      </c>
      <c r="R182" s="5">
        <f t="shared" si="137"/>
        <v>0</v>
      </c>
      <c r="S182" s="128">
        <f>I182/D182</f>
        <v>1</v>
      </c>
      <c r="T182" s="167"/>
      <c r="U182" s="167"/>
      <c r="V182" s="167"/>
      <c r="W182" s="167"/>
      <c r="X182" s="89"/>
    </row>
    <row r="183" spans="1:24" ht="36" customHeight="1" x14ac:dyDescent="0.25">
      <c r="A183" s="203"/>
      <c r="B183" s="216" t="s">
        <v>75</v>
      </c>
      <c r="C183" s="89" t="s">
        <v>1</v>
      </c>
      <c r="D183" s="165">
        <f t="shared" ref="D183" si="174">E183+F183+G183+H183</f>
        <v>0</v>
      </c>
      <c r="E183" s="5">
        <v>0</v>
      </c>
      <c r="F183" s="5">
        <v>0</v>
      </c>
      <c r="G183" s="5">
        <v>0</v>
      </c>
      <c r="H183" s="5">
        <v>0</v>
      </c>
      <c r="I183" s="165">
        <f t="shared" ref="I183" si="175">J183+K183+L183+M183</f>
        <v>0</v>
      </c>
      <c r="J183" s="5">
        <v>0</v>
      </c>
      <c r="K183" s="5">
        <v>0</v>
      </c>
      <c r="L183" s="5">
        <v>0</v>
      </c>
      <c r="M183" s="5">
        <v>0</v>
      </c>
      <c r="N183" s="165">
        <f t="shared" si="137"/>
        <v>0</v>
      </c>
      <c r="O183" s="5">
        <f t="shared" si="137"/>
        <v>0</v>
      </c>
      <c r="P183" s="5">
        <f t="shared" si="137"/>
        <v>0</v>
      </c>
      <c r="Q183" s="5">
        <f t="shared" si="137"/>
        <v>0</v>
      </c>
      <c r="R183" s="5">
        <f t="shared" si="137"/>
        <v>0</v>
      </c>
      <c r="S183" s="128"/>
      <c r="T183" s="167"/>
      <c r="U183" s="167"/>
      <c r="V183" s="167"/>
      <c r="W183" s="167"/>
      <c r="X183" s="89"/>
    </row>
    <row r="184" spans="1:24" ht="36" customHeight="1" x14ac:dyDescent="0.25">
      <c r="A184" s="203"/>
      <c r="B184" s="216"/>
      <c r="C184" s="89" t="s">
        <v>2</v>
      </c>
      <c r="D184" s="165">
        <v>78.578000000000003</v>
      </c>
      <c r="E184" s="150">
        <v>0</v>
      </c>
      <c r="F184" s="150">
        <v>0</v>
      </c>
      <c r="G184" s="150">
        <v>0</v>
      </c>
      <c r="H184" s="150">
        <v>0</v>
      </c>
      <c r="I184" s="165">
        <v>78.578000000000003</v>
      </c>
      <c r="J184" s="150">
        <v>0</v>
      </c>
      <c r="K184" s="150">
        <v>0</v>
      </c>
      <c r="L184" s="150">
        <v>0</v>
      </c>
      <c r="M184" s="150">
        <v>78.578000000000003</v>
      </c>
      <c r="N184" s="165">
        <f t="shared" si="137"/>
        <v>0</v>
      </c>
      <c r="O184" s="5">
        <f t="shared" si="137"/>
        <v>0</v>
      </c>
      <c r="P184" s="5">
        <f t="shared" si="137"/>
        <v>0</v>
      </c>
      <c r="Q184" s="5">
        <f t="shared" si="137"/>
        <v>0</v>
      </c>
      <c r="R184" s="5">
        <f t="shared" si="137"/>
        <v>78.578000000000003</v>
      </c>
      <c r="S184" s="128">
        <f t="shared" ref="S184:S186" si="176">I184/D184</f>
        <v>1</v>
      </c>
      <c r="T184" s="167"/>
      <c r="U184" s="167"/>
      <c r="V184" s="167"/>
      <c r="W184" s="167"/>
      <c r="X184" s="89"/>
    </row>
    <row r="185" spans="1:24" ht="36" customHeight="1" x14ac:dyDescent="0.25">
      <c r="A185" s="203"/>
      <c r="B185" s="216"/>
      <c r="C185" s="89" t="s">
        <v>4</v>
      </c>
      <c r="D185" s="165">
        <v>11567.500739999999</v>
      </c>
      <c r="E185" s="150">
        <v>0</v>
      </c>
      <c r="F185" s="150">
        <v>0</v>
      </c>
      <c r="G185" s="150">
        <v>0</v>
      </c>
      <c r="H185" s="150">
        <v>0</v>
      </c>
      <c r="I185" s="165">
        <f t="shared" ref="I185" si="177">J185+K185+L185+M185</f>
        <v>11566.483999999999</v>
      </c>
      <c r="J185" s="150">
        <v>2872.5749999999998</v>
      </c>
      <c r="K185" s="5">
        <v>2509.9490000000001</v>
      </c>
      <c r="L185" s="5">
        <v>3022.2370000000001</v>
      </c>
      <c r="M185" s="5">
        <v>3161.723</v>
      </c>
      <c r="N185" s="165">
        <f t="shared" si="137"/>
        <v>-1.0167400000009366</v>
      </c>
      <c r="O185" s="5">
        <f t="shared" si="137"/>
        <v>2872.5749999999998</v>
      </c>
      <c r="P185" s="5">
        <f t="shared" si="137"/>
        <v>2509.9490000000001</v>
      </c>
      <c r="Q185" s="5">
        <f t="shared" si="137"/>
        <v>3022.2370000000001</v>
      </c>
      <c r="R185" s="5">
        <f t="shared" si="137"/>
        <v>3161.723</v>
      </c>
      <c r="S185" s="128">
        <f t="shared" si="176"/>
        <v>0.99991210374454653</v>
      </c>
      <c r="T185" s="167"/>
      <c r="U185" s="167"/>
      <c r="V185" s="167"/>
      <c r="W185" s="167"/>
      <c r="X185" s="89"/>
    </row>
    <row r="186" spans="1:24" ht="36" customHeight="1" x14ac:dyDescent="0.25">
      <c r="A186" s="203"/>
      <c r="B186" s="216"/>
      <c r="C186" s="89" t="s">
        <v>20</v>
      </c>
      <c r="D186" s="165">
        <f>D185+D184</f>
        <v>11646.078739999999</v>
      </c>
      <c r="E186" s="5">
        <f>E183+E184+E185</f>
        <v>0</v>
      </c>
      <c r="F186" s="5">
        <f t="shared" ref="F186:M186" si="178">F183+F184+F185</f>
        <v>0</v>
      </c>
      <c r="G186" s="5">
        <f t="shared" si="178"/>
        <v>0</v>
      </c>
      <c r="H186" s="5">
        <f t="shared" si="178"/>
        <v>0</v>
      </c>
      <c r="I186" s="165">
        <f t="shared" si="178"/>
        <v>11645.061999999998</v>
      </c>
      <c r="J186" s="5">
        <f t="shared" si="178"/>
        <v>2872.5749999999998</v>
      </c>
      <c r="K186" s="5">
        <f t="shared" si="178"/>
        <v>2509.9490000000001</v>
      </c>
      <c r="L186" s="5">
        <f t="shared" si="178"/>
        <v>3022.2370000000001</v>
      </c>
      <c r="M186" s="5">
        <f t="shared" si="178"/>
        <v>3240.3009999999999</v>
      </c>
      <c r="N186" s="165">
        <f t="shared" si="137"/>
        <v>-1.0167400000009366</v>
      </c>
      <c r="O186" s="5">
        <f t="shared" si="137"/>
        <v>2872.5749999999998</v>
      </c>
      <c r="P186" s="5">
        <f t="shared" si="137"/>
        <v>2509.9490000000001</v>
      </c>
      <c r="Q186" s="5">
        <f t="shared" si="137"/>
        <v>3022.2370000000001</v>
      </c>
      <c r="R186" s="5">
        <f t="shared" si="137"/>
        <v>3240.3009999999999</v>
      </c>
      <c r="S186" s="128">
        <f t="shared" si="176"/>
        <v>0.99991269679497286</v>
      </c>
      <c r="T186" s="167"/>
      <c r="U186" s="167"/>
      <c r="V186" s="167"/>
      <c r="W186" s="167"/>
      <c r="X186" s="89"/>
    </row>
    <row r="187" spans="1:24" ht="36" customHeight="1" x14ac:dyDescent="0.25">
      <c r="A187" s="203">
        <v>13</v>
      </c>
      <c r="B187" s="204" t="s">
        <v>38</v>
      </c>
      <c r="C187" s="158" t="s">
        <v>1</v>
      </c>
      <c r="D187" s="15">
        <f t="shared" ref="D187:D198" si="179">E187+F187+G187+H187</f>
        <v>0</v>
      </c>
      <c r="E187" s="17">
        <f>E191+E195</f>
        <v>0</v>
      </c>
      <c r="F187" s="17">
        <f>F191+F195</f>
        <v>0</v>
      </c>
      <c r="G187" s="17">
        <f>G191+G195</f>
        <v>0</v>
      </c>
      <c r="H187" s="17">
        <f>H191+H195</f>
        <v>0</v>
      </c>
      <c r="I187" s="15">
        <f t="shared" ref="I187:I197" si="180">J187+K187+L187+M187</f>
        <v>0</v>
      </c>
      <c r="J187" s="17">
        <f>J191+J195</f>
        <v>0</v>
      </c>
      <c r="K187" s="17">
        <f>K191+K195</f>
        <v>0</v>
      </c>
      <c r="L187" s="17">
        <f>L191+L195</f>
        <v>0</v>
      </c>
      <c r="M187" s="17">
        <f>M191+M195</f>
        <v>0</v>
      </c>
      <c r="N187" s="15">
        <f t="shared" si="137"/>
        <v>0</v>
      </c>
      <c r="O187" s="17">
        <f t="shared" si="137"/>
        <v>0</v>
      </c>
      <c r="P187" s="17">
        <f t="shared" si="137"/>
        <v>0</v>
      </c>
      <c r="Q187" s="17">
        <f t="shared" si="137"/>
        <v>0</v>
      </c>
      <c r="R187" s="17">
        <f t="shared" si="137"/>
        <v>0</v>
      </c>
      <c r="S187" s="20" t="s">
        <v>126</v>
      </c>
      <c r="T187" s="20" t="s">
        <v>126</v>
      </c>
      <c r="U187" s="20" t="s">
        <v>126</v>
      </c>
      <c r="V187" s="20" t="s">
        <v>126</v>
      </c>
      <c r="W187" s="20" t="s">
        <v>126</v>
      </c>
      <c r="X187" s="197"/>
    </row>
    <row r="188" spans="1:24" ht="36" customHeight="1" x14ac:dyDescent="0.25">
      <c r="A188" s="203"/>
      <c r="B188" s="204"/>
      <c r="C188" s="158" t="s">
        <v>2</v>
      </c>
      <c r="D188" s="15">
        <f t="shared" si="179"/>
        <v>0</v>
      </c>
      <c r="E188" s="17">
        <f t="shared" ref="E188:H190" si="181">E192+E196</f>
        <v>0</v>
      </c>
      <c r="F188" s="17">
        <f t="shared" si="181"/>
        <v>0</v>
      </c>
      <c r="G188" s="17">
        <f t="shared" si="181"/>
        <v>0</v>
      </c>
      <c r="H188" s="17">
        <f t="shared" si="181"/>
        <v>0</v>
      </c>
      <c r="I188" s="15">
        <f t="shared" si="180"/>
        <v>122.02</v>
      </c>
      <c r="J188" s="17">
        <f t="shared" ref="J188:M190" si="182">J192+J196</f>
        <v>0</v>
      </c>
      <c r="K188" s="17">
        <f t="shared" si="182"/>
        <v>0</v>
      </c>
      <c r="L188" s="17">
        <f t="shared" si="182"/>
        <v>0</v>
      </c>
      <c r="M188" s="17">
        <f t="shared" si="182"/>
        <v>122.02</v>
      </c>
      <c r="N188" s="15">
        <f t="shared" si="137"/>
        <v>122.02</v>
      </c>
      <c r="O188" s="17">
        <f t="shared" si="137"/>
        <v>0</v>
      </c>
      <c r="P188" s="17">
        <f t="shared" si="137"/>
        <v>0</v>
      </c>
      <c r="Q188" s="17">
        <f t="shared" si="137"/>
        <v>0</v>
      </c>
      <c r="R188" s="17">
        <f t="shared" si="137"/>
        <v>122.02</v>
      </c>
      <c r="S188" s="20" t="s">
        <v>126</v>
      </c>
      <c r="T188" s="20" t="s">
        <v>126</v>
      </c>
      <c r="U188" s="20" t="s">
        <v>126</v>
      </c>
      <c r="V188" s="20" t="s">
        <v>126</v>
      </c>
      <c r="W188" s="20" t="s">
        <v>126</v>
      </c>
      <c r="X188" s="198"/>
    </row>
    <row r="189" spans="1:24" ht="36" customHeight="1" x14ac:dyDescent="0.25">
      <c r="A189" s="203"/>
      <c r="B189" s="204"/>
      <c r="C189" s="158" t="s">
        <v>4</v>
      </c>
      <c r="D189" s="15">
        <f t="shared" si="179"/>
        <v>72.186999999999998</v>
      </c>
      <c r="E189" s="17">
        <f t="shared" si="181"/>
        <v>0</v>
      </c>
      <c r="F189" s="17">
        <f t="shared" si="181"/>
        <v>0</v>
      </c>
      <c r="G189" s="17">
        <f t="shared" si="181"/>
        <v>0</v>
      </c>
      <c r="H189" s="17">
        <f t="shared" si="181"/>
        <v>72.186999999999998</v>
      </c>
      <c r="I189" s="15">
        <f t="shared" si="180"/>
        <v>72.186999999999998</v>
      </c>
      <c r="J189" s="17">
        <f t="shared" si="182"/>
        <v>0</v>
      </c>
      <c r="K189" s="17">
        <f t="shared" si="182"/>
        <v>0</v>
      </c>
      <c r="L189" s="17">
        <f t="shared" si="182"/>
        <v>0</v>
      </c>
      <c r="M189" s="17">
        <f t="shared" si="182"/>
        <v>72.186999999999998</v>
      </c>
      <c r="N189" s="15">
        <f t="shared" si="137"/>
        <v>0</v>
      </c>
      <c r="O189" s="17">
        <f t="shared" si="137"/>
        <v>0</v>
      </c>
      <c r="P189" s="17">
        <f t="shared" si="137"/>
        <v>0</v>
      </c>
      <c r="Q189" s="17">
        <f t="shared" si="137"/>
        <v>0</v>
      </c>
      <c r="R189" s="17">
        <f t="shared" si="137"/>
        <v>0</v>
      </c>
      <c r="S189" s="18">
        <f t="shared" ref="S189:S194" si="183">I189/D189</f>
        <v>1</v>
      </c>
      <c r="T189" s="20" t="s">
        <v>126</v>
      </c>
      <c r="U189" s="20" t="s">
        <v>126</v>
      </c>
      <c r="V189" s="20" t="s">
        <v>126</v>
      </c>
      <c r="W189" s="20" t="s">
        <v>126</v>
      </c>
      <c r="X189" s="198"/>
    </row>
    <row r="190" spans="1:24" ht="36" customHeight="1" x14ac:dyDescent="0.25">
      <c r="A190" s="203"/>
      <c r="B190" s="204"/>
      <c r="C190" s="158" t="s">
        <v>21</v>
      </c>
      <c r="D190" s="15">
        <f t="shared" si="179"/>
        <v>72.186999999999998</v>
      </c>
      <c r="E190" s="17">
        <f t="shared" si="181"/>
        <v>0</v>
      </c>
      <c r="F190" s="17">
        <f t="shared" si="181"/>
        <v>0</v>
      </c>
      <c r="G190" s="17">
        <f t="shared" si="181"/>
        <v>0</v>
      </c>
      <c r="H190" s="17">
        <f t="shared" si="181"/>
        <v>72.186999999999998</v>
      </c>
      <c r="I190" s="15">
        <f>I187+I188+I189</f>
        <v>194.20699999999999</v>
      </c>
      <c r="J190" s="17">
        <f t="shared" si="182"/>
        <v>0</v>
      </c>
      <c r="K190" s="17">
        <f t="shared" si="182"/>
        <v>0</v>
      </c>
      <c r="L190" s="17">
        <f t="shared" si="182"/>
        <v>0</v>
      </c>
      <c r="M190" s="17">
        <f t="shared" si="182"/>
        <v>194.20699999999999</v>
      </c>
      <c r="N190" s="15">
        <f t="shared" si="137"/>
        <v>122.02</v>
      </c>
      <c r="O190" s="17">
        <f t="shared" si="137"/>
        <v>0</v>
      </c>
      <c r="P190" s="17">
        <f t="shared" si="137"/>
        <v>0</v>
      </c>
      <c r="Q190" s="17">
        <f t="shared" si="137"/>
        <v>0</v>
      </c>
      <c r="R190" s="17">
        <f t="shared" si="137"/>
        <v>122.02</v>
      </c>
      <c r="S190" s="18">
        <f t="shared" si="183"/>
        <v>2.6903320542479947</v>
      </c>
      <c r="T190" s="20" t="s">
        <v>126</v>
      </c>
      <c r="U190" s="20" t="s">
        <v>126</v>
      </c>
      <c r="V190" s="20" t="s">
        <v>126</v>
      </c>
      <c r="W190" s="20" t="s">
        <v>126</v>
      </c>
      <c r="X190" s="198"/>
    </row>
    <row r="191" spans="1:24" ht="36" customHeight="1" x14ac:dyDescent="0.25">
      <c r="A191" s="203"/>
      <c r="B191" s="204" t="s">
        <v>76</v>
      </c>
      <c r="C191" s="158" t="s">
        <v>1</v>
      </c>
      <c r="D191" s="15">
        <f t="shared" si="179"/>
        <v>0</v>
      </c>
      <c r="E191" s="17">
        <v>0</v>
      </c>
      <c r="F191" s="17">
        <v>0</v>
      </c>
      <c r="G191" s="17">
        <v>0</v>
      </c>
      <c r="H191" s="17">
        <v>0</v>
      </c>
      <c r="I191" s="15">
        <f t="shared" si="180"/>
        <v>0</v>
      </c>
      <c r="J191" s="17">
        <v>0</v>
      </c>
      <c r="K191" s="17">
        <v>0</v>
      </c>
      <c r="L191" s="17">
        <v>0</v>
      </c>
      <c r="M191" s="17">
        <v>0</v>
      </c>
      <c r="N191" s="15">
        <f t="shared" si="137"/>
        <v>0</v>
      </c>
      <c r="O191" s="17">
        <f t="shared" si="137"/>
        <v>0</v>
      </c>
      <c r="P191" s="17">
        <f t="shared" si="137"/>
        <v>0</v>
      </c>
      <c r="Q191" s="17">
        <f t="shared" si="137"/>
        <v>0</v>
      </c>
      <c r="R191" s="17">
        <f t="shared" si="137"/>
        <v>0</v>
      </c>
      <c r="S191" s="18" t="s">
        <v>126</v>
      </c>
      <c r="T191" s="18" t="s">
        <v>126</v>
      </c>
      <c r="U191" s="18" t="s">
        <v>126</v>
      </c>
      <c r="V191" s="18" t="s">
        <v>126</v>
      </c>
      <c r="W191" s="18" t="s">
        <v>126</v>
      </c>
      <c r="X191" s="198"/>
    </row>
    <row r="192" spans="1:24" ht="36" customHeight="1" x14ac:dyDescent="0.25">
      <c r="A192" s="203"/>
      <c r="B192" s="204"/>
      <c r="C192" s="158" t="s">
        <v>2</v>
      </c>
      <c r="D192" s="15">
        <f t="shared" si="179"/>
        <v>0</v>
      </c>
      <c r="E192" s="17">
        <v>0</v>
      </c>
      <c r="F192" s="27">
        <v>0</v>
      </c>
      <c r="G192" s="17">
        <v>0</v>
      </c>
      <c r="H192" s="17">
        <v>0</v>
      </c>
      <c r="I192" s="15">
        <f t="shared" si="180"/>
        <v>122.02</v>
      </c>
      <c r="J192" s="17">
        <v>0</v>
      </c>
      <c r="K192" s="27">
        <v>0</v>
      </c>
      <c r="L192" s="17">
        <v>0</v>
      </c>
      <c r="M192" s="17">
        <v>122.02</v>
      </c>
      <c r="N192" s="15">
        <f t="shared" si="137"/>
        <v>122.02</v>
      </c>
      <c r="O192" s="17">
        <f t="shared" si="137"/>
        <v>0</v>
      </c>
      <c r="P192" s="17">
        <f t="shared" si="137"/>
        <v>0</v>
      </c>
      <c r="Q192" s="17">
        <f t="shared" si="137"/>
        <v>0</v>
      </c>
      <c r="R192" s="17">
        <f t="shared" si="137"/>
        <v>122.02</v>
      </c>
      <c r="S192" s="18" t="s">
        <v>126</v>
      </c>
      <c r="T192" s="18" t="s">
        <v>126</v>
      </c>
      <c r="U192" s="18" t="s">
        <v>126</v>
      </c>
      <c r="V192" s="18" t="s">
        <v>126</v>
      </c>
      <c r="W192" s="18" t="s">
        <v>126</v>
      </c>
      <c r="X192" s="198"/>
    </row>
    <row r="193" spans="1:24" ht="36" customHeight="1" x14ac:dyDescent="0.25">
      <c r="A193" s="203"/>
      <c r="B193" s="204"/>
      <c r="C193" s="158" t="s">
        <v>4</v>
      </c>
      <c r="D193" s="15">
        <f t="shared" si="179"/>
        <v>72.186999999999998</v>
      </c>
      <c r="E193" s="17">
        <v>0</v>
      </c>
      <c r="F193" s="27">
        <v>0</v>
      </c>
      <c r="G193" s="17">
        <v>0</v>
      </c>
      <c r="H193" s="17">
        <v>72.186999999999998</v>
      </c>
      <c r="I193" s="15">
        <f t="shared" si="180"/>
        <v>72.186999999999998</v>
      </c>
      <c r="J193" s="17">
        <v>0</v>
      </c>
      <c r="K193" s="27">
        <v>0</v>
      </c>
      <c r="L193" s="17">
        <v>0</v>
      </c>
      <c r="M193" s="17">
        <v>72.186999999999998</v>
      </c>
      <c r="N193" s="15">
        <f t="shared" si="137"/>
        <v>0</v>
      </c>
      <c r="O193" s="17">
        <f t="shared" si="137"/>
        <v>0</v>
      </c>
      <c r="P193" s="17">
        <f t="shared" si="137"/>
        <v>0</v>
      </c>
      <c r="Q193" s="17">
        <f t="shared" si="137"/>
        <v>0</v>
      </c>
      <c r="R193" s="17">
        <f t="shared" si="137"/>
        <v>0</v>
      </c>
      <c r="S193" s="18">
        <f t="shared" si="183"/>
        <v>1</v>
      </c>
      <c r="T193" s="18" t="s">
        <v>126</v>
      </c>
      <c r="U193" s="18" t="s">
        <v>126</v>
      </c>
      <c r="V193" s="18" t="s">
        <v>126</v>
      </c>
      <c r="W193" s="18" t="s">
        <v>126</v>
      </c>
      <c r="X193" s="198"/>
    </row>
    <row r="194" spans="1:24" ht="36" customHeight="1" x14ac:dyDescent="0.25">
      <c r="A194" s="203"/>
      <c r="B194" s="204"/>
      <c r="C194" s="158" t="s">
        <v>20</v>
      </c>
      <c r="D194" s="15">
        <f t="shared" si="179"/>
        <v>72.186999999999998</v>
      </c>
      <c r="E194" s="17">
        <f>E191+E192+E193</f>
        <v>0</v>
      </c>
      <c r="F194" s="17">
        <f t="shared" ref="F194:M194" si="184">F191+F192+F193</f>
        <v>0</v>
      </c>
      <c r="G194" s="17">
        <f t="shared" si="184"/>
        <v>0</v>
      </c>
      <c r="H194" s="17">
        <f t="shared" si="184"/>
        <v>72.186999999999998</v>
      </c>
      <c r="I194" s="15">
        <f t="shared" si="184"/>
        <v>194.20699999999999</v>
      </c>
      <c r="J194" s="17">
        <f t="shared" si="184"/>
        <v>0</v>
      </c>
      <c r="K194" s="17">
        <f t="shared" si="184"/>
        <v>0</v>
      </c>
      <c r="L194" s="17">
        <f t="shared" si="184"/>
        <v>0</v>
      </c>
      <c r="M194" s="17">
        <f t="shared" si="184"/>
        <v>194.20699999999999</v>
      </c>
      <c r="N194" s="15">
        <f t="shared" si="137"/>
        <v>122.02</v>
      </c>
      <c r="O194" s="17">
        <f t="shared" si="137"/>
        <v>0</v>
      </c>
      <c r="P194" s="17">
        <f t="shared" si="137"/>
        <v>0</v>
      </c>
      <c r="Q194" s="17">
        <f t="shared" si="137"/>
        <v>0</v>
      </c>
      <c r="R194" s="17">
        <f t="shared" si="137"/>
        <v>122.02</v>
      </c>
      <c r="S194" s="18">
        <f t="shared" si="183"/>
        <v>2.6903320542479947</v>
      </c>
      <c r="T194" s="20" t="s">
        <v>126</v>
      </c>
      <c r="U194" s="18" t="s">
        <v>126</v>
      </c>
      <c r="V194" s="18" t="s">
        <v>126</v>
      </c>
      <c r="W194" s="20" t="s">
        <v>126</v>
      </c>
      <c r="X194" s="199"/>
    </row>
    <row r="195" spans="1:24" ht="36" customHeight="1" x14ac:dyDescent="0.25">
      <c r="A195" s="203"/>
      <c r="B195" s="204" t="s">
        <v>77</v>
      </c>
      <c r="C195" s="158" t="s">
        <v>1</v>
      </c>
      <c r="D195" s="15">
        <f t="shared" si="179"/>
        <v>0</v>
      </c>
      <c r="E195" s="17">
        <v>0</v>
      </c>
      <c r="F195" s="17">
        <v>0</v>
      </c>
      <c r="G195" s="17">
        <v>0</v>
      </c>
      <c r="H195" s="17">
        <v>0</v>
      </c>
      <c r="I195" s="15">
        <f t="shared" si="180"/>
        <v>0</v>
      </c>
      <c r="J195" s="17">
        <v>0</v>
      </c>
      <c r="K195" s="17">
        <v>0</v>
      </c>
      <c r="L195" s="17">
        <v>0</v>
      </c>
      <c r="M195" s="17">
        <v>0</v>
      </c>
      <c r="N195" s="15">
        <f t="shared" si="137"/>
        <v>0</v>
      </c>
      <c r="O195" s="17">
        <f t="shared" si="137"/>
        <v>0</v>
      </c>
      <c r="P195" s="17">
        <f t="shared" si="137"/>
        <v>0</v>
      </c>
      <c r="Q195" s="17">
        <f t="shared" si="137"/>
        <v>0</v>
      </c>
      <c r="R195" s="17">
        <f t="shared" si="137"/>
        <v>0</v>
      </c>
      <c r="S195" s="18" t="s">
        <v>126</v>
      </c>
      <c r="T195" s="18" t="s">
        <v>126</v>
      </c>
      <c r="U195" s="18" t="s">
        <v>126</v>
      </c>
      <c r="V195" s="18" t="s">
        <v>126</v>
      </c>
      <c r="W195" s="18" t="s">
        <v>126</v>
      </c>
      <c r="X195" s="20"/>
    </row>
    <row r="196" spans="1:24" ht="36" customHeight="1" x14ac:dyDescent="0.25">
      <c r="A196" s="203"/>
      <c r="B196" s="204"/>
      <c r="C196" s="158" t="s">
        <v>2</v>
      </c>
      <c r="D196" s="15">
        <f t="shared" si="179"/>
        <v>0</v>
      </c>
      <c r="E196" s="17">
        <v>0</v>
      </c>
      <c r="F196" s="17">
        <v>0</v>
      </c>
      <c r="G196" s="17">
        <v>0</v>
      </c>
      <c r="H196" s="17">
        <v>0</v>
      </c>
      <c r="I196" s="15">
        <f t="shared" si="180"/>
        <v>0</v>
      </c>
      <c r="J196" s="17">
        <v>0</v>
      </c>
      <c r="K196" s="17">
        <v>0</v>
      </c>
      <c r="L196" s="17">
        <v>0</v>
      </c>
      <c r="M196" s="17">
        <v>0</v>
      </c>
      <c r="N196" s="15">
        <f t="shared" si="137"/>
        <v>0</v>
      </c>
      <c r="O196" s="17">
        <f t="shared" si="137"/>
        <v>0</v>
      </c>
      <c r="P196" s="17">
        <f t="shared" si="137"/>
        <v>0</v>
      </c>
      <c r="Q196" s="17">
        <f t="shared" si="137"/>
        <v>0</v>
      </c>
      <c r="R196" s="17">
        <f t="shared" si="137"/>
        <v>0</v>
      </c>
      <c r="S196" s="18" t="s">
        <v>126</v>
      </c>
      <c r="T196" s="18" t="s">
        <v>126</v>
      </c>
      <c r="U196" s="18" t="s">
        <v>126</v>
      </c>
      <c r="V196" s="18" t="s">
        <v>126</v>
      </c>
      <c r="W196" s="18" t="s">
        <v>126</v>
      </c>
      <c r="X196" s="20"/>
    </row>
    <row r="197" spans="1:24" ht="36" customHeight="1" x14ac:dyDescent="0.25">
      <c r="A197" s="203"/>
      <c r="B197" s="204"/>
      <c r="C197" s="158" t="s">
        <v>4</v>
      </c>
      <c r="D197" s="15">
        <f t="shared" si="179"/>
        <v>0</v>
      </c>
      <c r="E197" s="17">
        <v>0</v>
      </c>
      <c r="F197" s="17">
        <v>0</v>
      </c>
      <c r="G197" s="17">
        <v>0</v>
      </c>
      <c r="H197" s="17">
        <v>0</v>
      </c>
      <c r="I197" s="15">
        <f t="shared" si="180"/>
        <v>0</v>
      </c>
      <c r="J197" s="17">
        <v>0</v>
      </c>
      <c r="K197" s="17">
        <v>0</v>
      </c>
      <c r="L197" s="17">
        <v>0</v>
      </c>
      <c r="M197" s="17">
        <v>0</v>
      </c>
      <c r="N197" s="15">
        <f t="shared" si="137"/>
        <v>0</v>
      </c>
      <c r="O197" s="17">
        <f t="shared" si="137"/>
        <v>0</v>
      </c>
      <c r="P197" s="17">
        <f t="shared" si="137"/>
        <v>0</v>
      </c>
      <c r="Q197" s="17">
        <f t="shared" si="137"/>
        <v>0</v>
      </c>
      <c r="R197" s="17">
        <f t="shared" si="137"/>
        <v>0</v>
      </c>
      <c r="S197" s="18" t="s">
        <v>126</v>
      </c>
      <c r="T197" s="18" t="s">
        <v>126</v>
      </c>
      <c r="U197" s="18" t="s">
        <v>126</v>
      </c>
      <c r="V197" s="18" t="s">
        <v>126</v>
      </c>
      <c r="W197" s="18" t="s">
        <v>126</v>
      </c>
      <c r="X197" s="20"/>
    </row>
    <row r="198" spans="1:24" ht="36" customHeight="1" x14ac:dyDescent="0.25">
      <c r="A198" s="203"/>
      <c r="B198" s="204"/>
      <c r="C198" s="158" t="s">
        <v>20</v>
      </c>
      <c r="D198" s="15">
        <f t="shared" si="179"/>
        <v>0</v>
      </c>
      <c r="E198" s="17">
        <f>E195+E196+E197</f>
        <v>0</v>
      </c>
      <c r="F198" s="17">
        <f t="shared" ref="F198:M198" si="185">F195+F196+F197</f>
        <v>0</v>
      </c>
      <c r="G198" s="17">
        <f t="shared" si="185"/>
        <v>0</v>
      </c>
      <c r="H198" s="17">
        <f t="shared" si="185"/>
        <v>0</v>
      </c>
      <c r="I198" s="15">
        <f t="shared" si="185"/>
        <v>0</v>
      </c>
      <c r="J198" s="17">
        <f t="shared" si="185"/>
        <v>0</v>
      </c>
      <c r="K198" s="17">
        <f t="shared" si="185"/>
        <v>0</v>
      </c>
      <c r="L198" s="17">
        <f t="shared" si="185"/>
        <v>0</v>
      </c>
      <c r="M198" s="17">
        <f t="shared" si="185"/>
        <v>0</v>
      </c>
      <c r="N198" s="15">
        <f t="shared" si="137"/>
        <v>0</v>
      </c>
      <c r="O198" s="17">
        <f t="shared" si="137"/>
        <v>0</v>
      </c>
      <c r="P198" s="17">
        <f t="shared" si="137"/>
        <v>0</v>
      </c>
      <c r="Q198" s="17">
        <f t="shared" si="137"/>
        <v>0</v>
      </c>
      <c r="R198" s="17">
        <f t="shared" si="137"/>
        <v>0</v>
      </c>
      <c r="S198" s="20" t="s">
        <v>126</v>
      </c>
      <c r="T198" s="20" t="s">
        <v>126</v>
      </c>
      <c r="U198" s="20" t="s">
        <v>126</v>
      </c>
      <c r="V198" s="20" t="s">
        <v>126</v>
      </c>
      <c r="W198" s="20" t="s">
        <v>126</v>
      </c>
      <c r="X198" s="20"/>
    </row>
    <row r="199" spans="1:24" ht="36" customHeight="1" x14ac:dyDescent="0.25">
      <c r="A199" s="203">
        <v>14</v>
      </c>
      <c r="B199" s="204" t="s">
        <v>179</v>
      </c>
      <c r="C199" s="158" t="s">
        <v>1</v>
      </c>
      <c r="D199" s="15">
        <f>E199+F199+G199+H199</f>
        <v>0</v>
      </c>
      <c r="E199" s="16">
        <v>0</v>
      </c>
      <c r="F199" s="16">
        <v>0</v>
      </c>
      <c r="G199" s="16">
        <v>0</v>
      </c>
      <c r="H199" s="16">
        <v>0</v>
      </c>
      <c r="I199" s="15">
        <f>J199+K199+L199+M199</f>
        <v>0</v>
      </c>
      <c r="J199" s="150">
        <v>0</v>
      </c>
      <c r="K199" s="150">
        <v>0</v>
      </c>
      <c r="L199" s="150">
        <v>0</v>
      </c>
      <c r="M199" s="150">
        <v>0</v>
      </c>
      <c r="N199" s="15">
        <f t="shared" si="137"/>
        <v>0</v>
      </c>
      <c r="O199" s="17">
        <f t="shared" si="137"/>
        <v>0</v>
      </c>
      <c r="P199" s="17">
        <f t="shared" si="137"/>
        <v>0</v>
      </c>
      <c r="Q199" s="17">
        <f t="shared" si="137"/>
        <v>0</v>
      </c>
      <c r="R199" s="17">
        <f t="shared" si="137"/>
        <v>0</v>
      </c>
      <c r="S199" s="18">
        <v>0</v>
      </c>
      <c r="T199" s="20">
        <v>0</v>
      </c>
      <c r="U199" s="20">
        <v>0</v>
      </c>
      <c r="V199" s="20">
        <v>0</v>
      </c>
      <c r="W199" s="20">
        <v>0</v>
      </c>
      <c r="X199" s="197"/>
    </row>
    <row r="200" spans="1:24" ht="36" customHeight="1" x14ac:dyDescent="0.25">
      <c r="A200" s="203"/>
      <c r="B200" s="204"/>
      <c r="C200" s="158" t="s">
        <v>2</v>
      </c>
      <c r="D200" s="15">
        <f>E200+F200+G200+H200</f>
        <v>3819.8865700000001</v>
      </c>
      <c r="E200" s="16">
        <v>0</v>
      </c>
      <c r="F200" s="16">
        <v>0</v>
      </c>
      <c r="G200" s="16">
        <v>0</v>
      </c>
      <c r="H200" s="151">
        <v>3819.8865700000001</v>
      </c>
      <c r="I200" s="152">
        <f>M200</f>
        <v>3819.8865700000001</v>
      </c>
      <c r="J200" s="150">
        <v>0</v>
      </c>
      <c r="K200" s="150">
        <v>0</v>
      </c>
      <c r="L200" s="150">
        <v>0</v>
      </c>
      <c r="M200" s="153">
        <v>3819.8865700000001</v>
      </c>
      <c r="N200" s="15">
        <f t="shared" si="137"/>
        <v>0</v>
      </c>
      <c r="O200" s="17">
        <f t="shared" si="137"/>
        <v>0</v>
      </c>
      <c r="P200" s="17">
        <f t="shared" si="137"/>
        <v>0</v>
      </c>
      <c r="Q200" s="17">
        <f t="shared" si="137"/>
        <v>0</v>
      </c>
      <c r="R200" s="17">
        <f t="shared" si="137"/>
        <v>0</v>
      </c>
      <c r="S200" s="18">
        <f t="shared" ref="S200:S202" si="186">I200/D200</f>
        <v>1</v>
      </c>
      <c r="T200" s="20">
        <v>0</v>
      </c>
      <c r="U200" s="20">
        <v>0</v>
      </c>
      <c r="V200" s="20">
        <v>0</v>
      </c>
      <c r="W200" s="20">
        <f t="shared" ref="W200:W202" si="187">M200/H200</f>
        <v>1</v>
      </c>
      <c r="X200" s="198"/>
    </row>
    <row r="201" spans="1:24" ht="36" customHeight="1" x14ac:dyDescent="0.25">
      <c r="A201" s="203"/>
      <c r="B201" s="204"/>
      <c r="C201" s="158" t="s">
        <v>4</v>
      </c>
      <c r="D201" s="15">
        <f>E201+F201+G201+H201</f>
        <v>240.62299999999999</v>
      </c>
      <c r="E201" s="16">
        <v>0</v>
      </c>
      <c r="F201" s="16">
        <v>0</v>
      </c>
      <c r="G201" s="16">
        <v>0</v>
      </c>
      <c r="H201" s="132">
        <v>240.62299999999999</v>
      </c>
      <c r="I201" s="15">
        <f t="shared" ref="I201" si="188">M201</f>
        <v>240.62299999999999</v>
      </c>
      <c r="J201" s="150">
        <v>0</v>
      </c>
      <c r="K201" s="150">
        <v>0</v>
      </c>
      <c r="L201" s="150">
        <v>0</v>
      </c>
      <c r="M201" s="150">
        <v>240.62299999999999</v>
      </c>
      <c r="N201" s="15">
        <f t="shared" si="137"/>
        <v>0</v>
      </c>
      <c r="O201" s="17">
        <f t="shared" si="137"/>
        <v>0</v>
      </c>
      <c r="P201" s="17">
        <f t="shared" si="137"/>
        <v>0</v>
      </c>
      <c r="Q201" s="17">
        <f t="shared" si="137"/>
        <v>0</v>
      </c>
      <c r="R201" s="17">
        <f t="shared" si="137"/>
        <v>0</v>
      </c>
      <c r="S201" s="18">
        <f t="shared" si="186"/>
        <v>1</v>
      </c>
      <c r="T201" s="20">
        <v>0</v>
      </c>
      <c r="U201" s="20">
        <v>0</v>
      </c>
      <c r="V201" s="20">
        <v>0</v>
      </c>
      <c r="W201" s="20">
        <f t="shared" si="187"/>
        <v>1</v>
      </c>
      <c r="X201" s="198"/>
    </row>
    <row r="202" spans="1:24" ht="36" customHeight="1" x14ac:dyDescent="0.25">
      <c r="A202" s="203"/>
      <c r="B202" s="204"/>
      <c r="C202" s="158" t="s">
        <v>21</v>
      </c>
      <c r="D202" s="15">
        <f>D199+D200+D201</f>
        <v>4060.5095700000002</v>
      </c>
      <c r="E202" s="17">
        <f t="shared" ref="E202:I202" si="189">E199+E200+E201</f>
        <v>0</v>
      </c>
      <c r="F202" s="17">
        <f t="shared" si="189"/>
        <v>0</v>
      </c>
      <c r="G202" s="17">
        <f t="shared" si="189"/>
        <v>0</v>
      </c>
      <c r="H202" s="151">
        <f>H200+H201</f>
        <v>4060.5095700000002</v>
      </c>
      <c r="I202" s="15">
        <f t="shared" si="189"/>
        <v>4060.5095700000002</v>
      </c>
      <c r="J202" s="150">
        <v>0</v>
      </c>
      <c r="K202" s="150">
        <v>0</v>
      </c>
      <c r="L202" s="150">
        <v>0</v>
      </c>
      <c r="M202" s="153">
        <f>M200+M201</f>
        <v>4060.5095700000002</v>
      </c>
      <c r="N202" s="15">
        <f t="shared" si="137"/>
        <v>0</v>
      </c>
      <c r="O202" s="17">
        <f t="shared" si="137"/>
        <v>0</v>
      </c>
      <c r="P202" s="17">
        <f t="shared" si="137"/>
        <v>0</v>
      </c>
      <c r="Q202" s="17">
        <f t="shared" si="137"/>
        <v>0</v>
      </c>
      <c r="R202" s="17">
        <f t="shared" si="137"/>
        <v>0</v>
      </c>
      <c r="S202" s="18">
        <f t="shared" si="186"/>
        <v>1</v>
      </c>
      <c r="T202" s="20">
        <v>0</v>
      </c>
      <c r="U202" s="20">
        <v>0</v>
      </c>
      <c r="V202" s="20">
        <v>0</v>
      </c>
      <c r="W202" s="20">
        <f t="shared" si="187"/>
        <v>1</v>
      </c>
      <c r="X202" s="199"/>
    </row>
    <row r="203" spans="1:24" ht="36" customHeight="1" x14ac:dyDescent="0.25">
      <c r="A203" s="203">
        <v>15</v>
      </c>
      <c r="B203" s="204" t="s">
        <v>39</v>
      </c>
      <c r="C203" s="158" t="s">
        <v>1</v>
      </c>
      <c r="D203" s="15">
        <f t="shared" ref="D203:D218" si="190">E203+F203+G203+H203</f>
        <v>0</v>
      </c>
      <c r="E203" s="17">
        <v>0</v>
      </c>
      <c r="F203" s="17">
        <v>0</v>
      </c>
      <c r="G203" s="17">
        <v>0</v>
      </c>
      <c r="H203" s="17">
        <v>0</v>
      </c>
      <c r="I203" s="15">
        <f t="shared" ref="I203:I218" si="191">J203+K203+L203+M203</f>
        <v>0</v>
      </c>
      <c r="J203" s="17">
        <v>0</v>
      </c>
      <c r="K203" s="19">
        <v>0</v>
      </c>
      <c r="L203" s="19">
        <v>0</v>
      </c>
      <c r="M203" s="19">
        <v>0</v>
      </c>
      <c r="N203" s="15">
        <f t="shared" ref="N203:R210" si="192">I203-D203</f>
        <v>0</v>
      </c>
      <c r="O203" s="17">
        <f t="shared" si="192"/>
        <v>0</v>
      </c>
      <c r="P203" s="17">
        <f t="shared" si="192"/>
        <v>0</v>
      </c>
      <c r="Q203" s="17">
        <f t="shared" si="192"/>
        <v>0</v>
      </c>
      <c r="R203" s="17">
        <f t="shared" si="192"/>
        <v>0</v>
      </c>
      <c r="S203" s="18" t="s">
        <v>126</v>
      </c>
      <c r="T203" s="20" t="s">
        <v>126</v>
      </c>
      <c r="U203" s="20" t="s">
        <v>126</v>
      </c>
      <c r="V203" s="20" t="s">
        <v>126</v>
      </c>
      <c r="W203" s="20" t="s">
        <v>126</v>
      </c>
      <c r="X203" s="20"/>
    </row>
    <row r="204" spans="1:24" ht="36" customHeight="1" x14ac:dyDescent="0.25">
      <c r="A204" s="203"/>
      <c r="B204" s="204"/>
      <c r="C204" s="158" t="s">
        <v>2</v>
      </c>
      <c r="D204" s="63">
        <f t="shared" si="190"/>
        <v>634.18764999999996</v>
      </c>
      <c r="E204" s="64">
        <v>299.87923999999998</v>
      </c>
      <c r="F204" s="17">
        <v>0</v>
      </c>
      <c r="G204" s="17">
        <v>0</v>
      </c>
      <c r="H204" s="65">
        <f>302.30241+32.006</f>
        <v>334.30840999999998</v>
      </c>
      <c r="I204" s="15">
        <f t="shared" si="191"/>
        <v>634.18732999999997</v>
      </c>
      <c r="J204" s="65">
        <v>29.28388</v>
      </c>
      <c r="K204" s="66">
        <v>37.729840000000003</v>
      </c>
      <c r="L204" s="66">
        <v>87.479159999999993</v>
      </c>
      <c r="M204" s="66">
        <f>447.68845+32.006</f>
        <v>479.69444999999996</v>
      </c>
      <c r="N204" s="15">
        <f t="shared" si="192"/>
        <v>-3.1999999998788553E-4</v>
      </c>
      <c r="O204" s="17">
        <f t="shared" si="192"/>
        <v>-270.59535999999997</v>
      </c>
      <c r="P204" s="17">
        <f t="shared" si="192"/>
        <v>37.729840000000003</v>
      </c>
      <c r="Q204" s="17">
        <f t="shared" si="192"/>
        <v>87.479159999999993</v>
      </c>
      <c r="R204" s="17">
        <f t="shared" si="192"/>
        <v>145.38603999999998</v>
      </c>
      <c r="S204" s="18">
        <f t="shared" ref="S204:W210" si="193">I204/D204</f>
        <v>0.99999949541748412</v>
      </c>
      <c r="T204" s="20">
        <f t="shared" si="193"/>
        <v>9.7652241615658358E-2</v>
      </c>
      <c r="U204" s="20" t="s">
        <v>126</v>
      </c>
      <c r="V204" s="20" t="s">
        <v>126</v>
      </c>
      <c r="W204" s="20">
        <f t="shared" si="193"/>
        <v>1.4348859784891441</v>
      </c>
      <c r="X204" s="20"/>
    </row>
    <row r="205" spans="1:24" ht="36" customHeight="1" x14ac:dyDescent="0.25">
      <c r="A205" s="203"/>
      <c r="B205" s="204"/>
      <c r="C205" s="158" t="s">
        <v>4</v>
      </c>
      <c r="D205" s="63">
        <f t="shared" si="190"/>
        <v>2947.5991599999998</v>
      </c>
      <c r="E205" s="154">
        <v>758.68913999999995</v>
      </c>
      <c r="F205" s="155">
        <v>617.82213999999999</v>
      </c>
      <c r="G205" s="65">
        <v>601.53214000000003</v>
      </c>
      <c r="H205" s="65">
        <f>967.95544+1.6003</f>
        <v>969.5557399999999</v>
      </c>
      <c r="I205" s="15">
        <f t="shared" si="191"/>
        <v>2809.6343600000005</v>
      </c>
      <c r="J205" s="65">
        <v>633.57979</v>
      </c>
      <c r="K205" s="66">
        <v>518.14412000000004</v>
      </c>
      <c r="L205" s="66">
        <v>513.61783000000003</v>
      </c>
      <c r="M205" s="66">
        <f>1142.69232+1.6003</f>
        <v>1144.2926200000002</v>
      </c>
      <c r="N205" s="15">
        <f t="shared" si="192"/>
        <v>-137.96479999999929</v>
      </c>
      <c r="O205" s="17">
        <f t="shared" si="192"/>
        <v>-125.10934999999995</v>
      </c>
      <c r="P205" s="17">
        <f t="shared" si="192"/>
        <v>-99.678019999999947</v>
      </c>
      <c r="Q205" s="17">
        <f t="shared" si="192"/>
        <v>-87.91431</v>
      </c>
      <c r="R205" s="17">
        <f t="shared" si="192"/>
        <v>174.73688000000027</v>
      </c>
      <c r="S205" s="18">
        <f t="shared" si="193"/>
        <v>0.9531941785463125</v>
      </c>
      <c r="T205" s="20">
        <f t="shared" si="193"/>
        <v>0.83509800865213391</v>
      </c>
      <c r="U205" s="20">
        <f t="shared" si="193"/>
        <v>0.83866227260810056</v>
      </c>
      <c r="V205" s="20">
        <f t="shared" si="193"/>
        <v>0.85384935541432583</v>
      </c>
      <c r="W205" s="20">
        <f t="shared" si="193"/>
        <v>1.1802236558364352</v>
      </c>
      <c r="X205" s="20"/>
    </row>
    <row r="206" spans="1:24" ht="36" customHeight="1" x14ac:dyDescent="0.25">
      <c r="A206" s="203"/>
      <c r="B206" s="204"/>
      <c r="C206" s="158" t="s">
        <v>21</v>
      </c>
      <c r="D206" s="63">
        <f t="shared" si="190"/>
        <v>3581.7868100000001</v>
      </c>
      <c r="E206" s="64">
        <f>E205+E204+E203</f>
        <v>1058.5683799999999</v>
      </c>
      <c r="F206" s="65">
        <f t="shared" ref="F206:H206" si="194">F205+F204+F203</f>
        <v>617.82213999999999</v>
      </c>
      <c r="G206" s="65">
        <f t="shared" si="194"/>
        <v>601.53214000000003</v>
      </c>
      <c r="H206" s="65">
        <f t="shared" si="194"/>
        <v>1303.8641499999999</v>
      </c>
      <c r="I206" s="15">
        <f>I205+I204+I203</f>
        <v>3443.8216900000007</v>
      </c>
      <c r="J206" s="65">
        <v>662.86366999999996</v>
      </c>
      <c r="K206" s="65">
        <v>555.87396000000001</v>
      </c>
      <c r="L206" s="65">
        <v>601.09699000000001</v>
      </c>
      <c r="M206" s="65">
        <f>M205+M204</f>
        <v>1623.9870700000001</v>
      </c>
      <c r="N206" s="15">
        <f t="shared" si="192"/>
        <v>-137.96511999999939</v>
      </c>
      <c r="O206" s="17">
        <f t="shared" si="192"/>
        <v>-395.70470999999998</v>
      </c>
      <c r="P206" s="17">
        <f t="shared" si="192"/>
        <v>-61.948179999999979</v>
      </c>
      <c r="Q206" s="17">
        <f t="shared" si="192"/>
        <v>-0.43515000000002146</v>
      </c>
      <c r="R206" s="17">
        <f t="shared" si="192"/>
        <v>320.12292000000025</v>
      </c>
      <c r="S206" s="18">
        <f t="shared" si="193"/>
        <v>0.96148148191991378</v>
      </c>
      <c r="T206" s="20">
        <f t="shared" si="193"/>
        <v>0.62618880605521199</v>
      </c>
      <c r="U206" s="20">
        <f t="shared" si="193"/>
        <v>0.89973136929019737</v>
      </c>
      <c r="V206" s="20">
        <f t="shared" si="193"/>
        <v>0.99927659725713069</v>
      </c>
      <c r="W206" s="20">
        <f t="shared" si="193"/>
        <v>1.245518614803544</v>
      </c>
      <c r="X206" s="20"/>
    </row>
    <row r="207" spans="1:24" ht="36" customHeight="1" x14ac:dyDescent="0.25">
      <c r="A207" s="203">
        <v>16</v>
      </c>
      <c r="B207" s="204" t="s">
        <v>339</v>
      </c>
      <c r="C207" s="158" t="s">
        <v>1</v>
      </c>
      <c r="D207" s="15">
        <f t="shared" si="190"/>
        <v>0</v>
      </c>
      <c r="E207" s="17">
        <v>0</v>
      </c>
      <c r="F207" s="17">
        <v>0</v>
      </c>
      <c r="G207" s="17">
        <v>0</v>
      </c>
      <c r="H207" s="17">
        <v>0</v>
      </c>
      <c r="I207" s="15">
        <f t="shared" si="191"/>
        <v>0</v>
      </c>
      <c r="J207" s="17">
        <v>0</v>
      </c>
      <c r="K207" s="17">
        <v>0</v>
      </c>
      <c r="L207" s="17">
        <v>0</v>
      </c>
      <c r="M207" s="17">
        <v>0</v>
      </c>
      <c r="N207" s="15">
        <f t="shared" si="192"/>
        <v>0</v>
      </c>
      <c r="O207" s="17">
        <f t="shared" si="192"/>
        <v>0</v>
      </c>
      <c r="P207" s="17">
        <f t="shared" si="192"/>
        <v>0</v>
      </c>
      <c r="Q207" s="17">
        <f t="shared" si="192"/>
        <v>0</v>
      </c>
      <c r="R207" s="17">
        <f t="shared" si="192"/>
        <v>0</v>
      </c>
      <c r="S207" s="18" t="s">
        <v>126</v>
      </c>
      <c r="T207" s="18" t="s">
        <v>126</v>
      </c>
      <c r="U207" s="18" t="s">
        <v>126</v>
      </c>
      <c r="V207" s="18" t="s">
        <v>126</v>
      </c>
      <c r="W207" s="18" t="s">
        <v>126</v>
      </c>
      <c r="X207" s="20"/>
    </row>
    <row r="208" spans="1:24" ht="36" customHeight="1" x14ac:dyDescent="0.25">
      <c r="A208" s="203"/>
      <c r="B208" s="204"/>
      <c r="C208" s="158" t="s">
        <v>2</v>
      </c>
      <c r="D208" s="15">
        <f t="shared" si="190"/>
        <v>0</v>
      </c>
      <c r="E208" s="17">
        <v>0</v>
      </c>
      <c r="F208" s="17">
        <v>0</v>
      </c>
      <c r="G208" s="17">
        <v>0</v>
      </c>
      <c r="H208" s="17">
        <v>0</v>
      </c>
      <c r="I208" s="15">
        <f t="shared" si="191"/>
        <v>0</v>
      </c>
      <c r="J208" s="17">
        <v>0</v>
      </c>
      <c r="K208" s="17">
        <v>0</v>
      </c>
      <c r="L208" s="17">
        <v>0</v>
      </c>
      <c r="M208" s="17">
        <v>0</v>
      </c>
      <c r="N208" s="15">
        <f t="shared" si="192"/>
        <v>0</v>
      </c>
      <c r="O208" s="17">
        <f t="shared" si="192"/>
        <v>0</v>
      </c>
      <c r="P208" s="17">
        <f t="shared" si="192"/>
        <v>0</v>
      </c>
      <c r="Q208" s="17">
        <f t="shared" si="192"/>
        <v>0</v>
      </c>
      <c r="R208" s="17">
        <f t="shared" si="192"/>
        <v>0</v>
      </c>
      <c r="S208" s="18" t="s">
        <v>126</v>
      </c>
      <c r="T208" s="18" t="s">
        <v>126</v>
      </c>
      <c r="U208" s="18" t="s">
        <v>126</v>
      </c>
      <c r="V208" s="18" t="s">
        <v>126</v>
      </c>
      <c r="W208" s="18" t="s">
        <v>126</v>
      </c>
      <c r="X208" s="20"/>
    </row>
    <row r="209" spans="1:24" ht="36" customHeight="1" x14ac:dyDescent="0.25">
      <c r="A209" s="203"/>
      <c r="B209" s="204"/>
      <c r="C209" s="158" t="s">
        <v>4</v>
      </c>
      <c r="D209" s="15">
        <f t="shared" si="190"/>
        <v>673.08</v>
      </c>
      <c r="E209" s="17">
        <v>0</v>
      </c>
      <c r="F209" s="19">
        <v>0</v>
      </c>
      <c r="G209" s="19">
        <v>673.08</v>
      </c>
      <c r="H209" s="17">
        <v>0</v>
      </c>
      <c r="I209" s="15">
        <f>J209+K209+L209+M209</f>
        <v>670.99699999999996</v>
      </c>
      <c r="J209" s="17">
        <v>0</v>
      </c>
      <c r="K209" s="19">
        <v>0</v>
      </c>
      <c r="L209" s="19">
        <v>663.98699999999997</v>
      </c>
      <c r="M209" s="17">
        <v>7.01</v>
      </c>
      <c r="N209" s="15">
        <f t="shared" si="192"/>
        <v>-2.0830000000000837</v>
      </c>
      <c r="O209" s="17">
        <f t="shared" si="192"/>
        <v>0</v>
      </c>
      <c r="P209" s="17">
        <f t="shared" si="192"/>
        <v>0</v>
      </c>
      <c r="Q209" s="17">
        <f t="shared" si="192"/>
        <v>-9.0930000000000746</v>
      </c>
      <c r="R209" s="17">
        <f t="shared" si="192"/>
        <v>7.01</v>
      </c>
      <c r="S209" s="18">
        <f t="shared" si="193"/>
        <v>0.99690527129018824</v>
      </c>
      <c r="T209" s="18" t="s">
        <v>126</v>
      </c>
      <c r="U209" s="18" t="s">
        <v>126</v>
      </c>
      <c r="V209" s="18" t="s">
        <v>126</v>
      </c>
      <c r="W209" s="18" t="s">
        <v>126</v>
      </c>
      <c r="X209" s="20"/>
    </row>
    <row r="210" spans="1:24" ht="36" customHeight="1" x14ac:dyDescent="0.25">
      <c r="A210" s="203"/>
      <c r="B210" s="204"/>
      <c r="C210" s="158" t="s">
        <v>21</v>
      </c>
      <c r="D210" s="15">
        <f t="shared" si="190"/>
        <v>673.08</v>
      </c>
      <c r="E210" s="17">
        <v>0</v>
      </c>
      <c r="F210" s="19">
        <f>F209+F208+F207</f>
        <v>0</v>
      </c>
      <c r="G210" s="19">
        <f>G209+G208+G207</f>
        <v>673.08</v>
      </c>
      <c r="H210" s="17">
        <v>0</v>
      </c>
      <c r="I210" s="15">
        <f t="shared" si="191"/>
        <v>670.99699999999996</v>
      </c>
      <c r="J210" s="17">
        <v>0</v>
      </c>
      <c r="K210" s="19">
        <f>K209</f>
        <v>0</v>
      </c>
      <c r="L210" s="19">
        <f t="shared" ref="L210:M210" si="195">L209</f>
        <v>663.98699999999997</v>
      </c>
      <c r="M210" s="19">
        <f t="shared" si="195"/>
        <v>7.01</v>
      </c>
      <c r="N210" s="15">
        <f t="shared" si="192"/>
        <v>-2.0830000000000837</v>
      </c>
      <c r="O210" s="17">
        <f t="shared" si="192"/>
        <v>0</v>
      </c>
      <c r="P210" s="17">
        <f t="shared" si="192"/>
        <v>0</v>
      </c>
      <c r="Q210" s="17">
        <f t="shared" si="192"/>
        <v>-9.0930000000000746</v>
      </c>
      <c r="R210" s="17">
        <f t="shared" si="192"/>
        <v>7.01</v>
      </c>
      <c r="S210" s="18">
        <f t="shared" si="193"/>
        <v>0.99690527129018824</v>
      </c>
      <c r="T210" s="18" t="s">
        <v>126</v>
      </c>
      <c r="U210" s="18" t="s">
        <v>126</v>
      </c>
      <c r="V210" s="18" t="s">
        <v>126</v>
      </c>
      <c r="W210" s="18" t="s">
        <v>126</v>
      </c>
      <c r="X210" s="20"/>
    </row>
    <row r="211" spans="1:24" s="54" customFormat="1" ht="36" customHeight="1" x14ac:dyDescent="0.25">
      <c r="A211" s="208">
        <v>17</v>
      </c>
      <c r="B211" s="221" t="s">
        <v>340</v>
      </c>
      <c r="C211" s="160" t="s">
        <v>1</v>
      </c>
      <c r="D211" s="15">
        <f t="shared" si="190"/>
        <v>0</v>
      </c>
      <c r="E211" s="53">
        <v>0</v>
      </c>
      <c r="F211" s="156">
        <v>0</v>
      </c>
      <c r="G211" s="156">
        <v>0</v>
      </c>
      <c r="H211" s="53">
        <v>0</v>
      </c>
      <c r="I211" s="15">
        <f t="shared" si="191"/>
        <v>0</v>
      </c>
      <c r="J211" s="53">
        <v>0</v>
      </c>
      <c r="K211" s="156">
        <v>0</v>
      </c>
      <c r="L211" s="156">
        <v>0</v>
      </c>
      <c r="M211" s="156">
        <v>0</v>
      </c>
      <c r="N211" s="58">
        <v>0</v>
      </c>
      <c r="O211" s="53">
        <v>0</v>
      </c>
      <c r="P211" s="53">
        <v>0</v>
      </c>
      <c r="Q211" s="53">
        <v>0</v>
      </c>
      <c r="R211" s="53">
        <v>0</v>
      </c>
      <c r="S211" s="59">
        <v>0</v>
      </c>
      <c r="T211" s="59">
        <v>0</v>
      </c>
      <c r="U211" s="62">
        <v>0</v>
      </c>
      <c r="V211" s="59">
        <v>0</v>
      </c>
      <c r="W211" s="59">
        <v>0</v>
      </c>
      <c r="X211" s="62"/>
    </row>
    <row r="212" spans="1:24" s="54" customFormat="1" ht="36" customHeight="1" x14ac:dyDescent="0.25">
      <c r="A212" s="209"/>
      <c r="B212" s="222"/>
      <c r="C212" s="160" t="s">
        <v>2</v>
      </c>
      <c r="D212" s="15">
        <f t="shared" si="190"/>
        <v>0</v>
      </c>
      <c r="E212" s="53">
        <v>0</v>
      </c>
      <c r="F212" s="156">
        <v>0</v>
      </c>
      <c r="G212" s="156">
        <v>0</v>
      </c>
      <c r="H212" s="53">
        <v>0</v>
      </c>
      <c r="I212" s="15">
        <f t="shared" si="191"/>
        <v>0</v>
      </c>
      <c r="J212" s="53">
        <v>0</v>
      </c>
      <c r="K212" s="156">
        <v>0</v>
      </c>
      <c r="L212" s="156">
        <v>0</v>
      </c>
      <c r="M212" s="156">
        <v>0</v>
      </c>
      <c r="N212" s="58">
        <v>0</v>
      </c>
      <c r="O212" s="53">
        <v>0</v>
      </c>
      <c r="P212" s="53">
        <v>0</v>
      </c>
      <c r="Q212" s="53">
        <v>0</v>
      </c>
      <c r="R212" s="53">
        <v>0</v>
      </c>
      <c r="S212" s="59">
        <v>0</v>
      </c>
      <c r="T212" s="59">
        <v>0</v>
      </c>
      <c r="U212" s="62">
        <v>0</v>
      </c>
      <c r="V212" s="59">
        <v>0</v>
      </c>
      <c r="W212" s="59">
        <v>0</v>
      </c>
      <c r="X212" s="62"/>
    </row>
    <row r="213" spans="1:24" s="54" customFormat="1" ht="36" customHeight="1" x14ac:dyDescent="0.25">
      <c r="A213" s="209"/>
      <c r="B213" s="222"/>
      <c r="C213" s="160" t="s">
        <v>4</v>
      </c>
      <c r="D213" s="15">
        <f t="shared" si="190"/>
        <v>0</v>
      </c>
      <c r="E213" s="53">
        <v>0</v>
      </c>
      <c r="F213" s="156">
        <v>0</v>
      </c>
      <c r="G213" s="156">
        <v>0</v>
      </c>
      <c r="H213" s="53">
        <v>0</v>
      </c>
      <c r="I213" s="15">
        <f t="shared" si="191"/>
        <v>0</v>
      </c>
      <c r="J213" s="53">
        <v>0</v>
      </c>
      <c r="K213" s="156">
        <v>0</v>
      </c>
      <c r="L213" s="156">
        <v>0</v>
      </c>
      <c r="M213" s="156">
        <v>0</v>
      </c>
      <c r="N213" s="58">
        <v>0</v>
      </c>
      <c r="O213" s="53">
        <v>0</v>
      </c>
      <c r="P213" s="53">
        <v>0</v>
      </c>
      <c r="Q213" s="53">
        <v>0</v>
      </c>
      <c r="R213" s="53">
        <v>0</v>
      </c>
      <c r="S213" s="59">
        <v>0</v>
      </c>
      <c r="T213" s="59">
        <v>0</v>
      </c>
      <c r="U213" s="62">
        <v>0</v>
      </c>
      <c r="V213" s="59">
        <v>0</v>
      </c>
      <c r="W213" s="59">
        <v>0</v>
      </c>
      <c r="X213" s="62"/>
    </row>
    <row r="214" spans="1:24" s="68" customFormat="1" ht="36" customHeight="1" x14ac:dyDescent="0.25">
      <c r="A214" s="220"/>
      <c r="B214" s="223"/>
      <c r="C214" s="160" t="s">
        <v>21</v>
      </c>
      <c r="D214" s="15">
        <f t="shared" si="190"/>
        <v>0</v>
      </c>
      <c r="E214" s="134">
        <v>0</v>
      </c>
      <c r="F214" s="134">
        <v>0</v>
      </c>
      <c r="G214" s="134">
        <v>0</v>
      </c>
      <c r="H214" s="134">
        <v>0</v>
      </c>
      <c r="I214" s="15">
        <f t="shared" si="191"/>
        <v>0</v>
      </c>
      <c r="J214" s="134">
        <v>0</v>
      </c>
      <c r="K214" s="134">
        <v>0</v>
      </c>
      <c r="L214" s="134">
        <v>0</v>
      </c>
      <c r="M214" s="134">
        <v>0</v>
      </c>
      <c r="N214" s="135">
        <v>0</v>
      </c>
      <c r="O214" s="134">
        <v>0</v>
      </c>
      <c r="P214" s="134">
        <v>0</v>
      </c>
      <c r="Q214" s="134">
        <v>0</v>
      </c>
      <c r="R214" s="134">
        <v>0</v>
      </c>
      <c r="S214" s="136">
        <v>0</v>
      </c>
      <c r="T214" s="137">
        <v>0</v>
      </c>
      <c r="U214" s="137">
        <v>0</v>
      </c>
      <c r="V214" s="137">
        <v>0</v>
      </c>
      <c r="W214" s="137">
        <v>0</v>
      </c>
      <c r="X214" s="67"/>
    </row>
    <row r="215" spans="1:24" s="54" customFormat="1" ht="36" customHeight="1" x14ac:dyDescent="0.25">
      <c r="A215" s="208">
        <v>18</v>
      </c>
      <c r="B215" s="221" t="s">
        <v>341</v>
      </c>
      <c r="C215" s="160" t="s">
        <v>1</v>
      </c>
      <c r="D215" s="15">
        <f t="shared" si="190"/>
        <v>0</v>
      </c>
      <c r="E215" s="53">
        <v>0</v>
      </c>
      <c r="F215" s="156">
        <v>0</v>
      </c>
      <c r="G215" s="156">
        <v>0</v>
      </c>
      <c r="H215" s="53">
        <v>0</v>
      </c>
      <c r="I215" s="15">
        <f t="shared" si="191"/>
        <v>0</v>
      </c>
      <c r="J215" s="53">
        <v>0</v>
      </c>
      <c r="K215" s="156">
        <v>0</v>
      </c>
      <c r="L215" s="156">
        <v>0</v>
      </c>
      <c r="M215" s="156">
        <v>0</v>
      </c>
      <c r="N215" s="15">
        <f t="shared" ref="N215:N218" si="196">I215-D215</f>
        <v>0</v>
      </c>
      <c r="O215" s="53">
        <v>0</v>
      </c>
      <c r="P215" s="53">
        <v>0</v>
      </c>
      <c r="Q215" s="53">
        <v>0</v>
      </c>
      <c r="R215" s="53">
        <v>0</v>
      </c>
      <c r="S215" s="136">
        <v>0</v>
      </c>
      <c r="T215" s="59">
        <v>0</v>
      </c>
      <c r="U215" s="62">
        <v>0</v>
      </c>
      <c r="V215" s="59">
        <v>0</v>
      </c>
      <c r="W215" s="59">
        <v>0</v>
      </c>
      <c r="X215" s="62"/>
    </row>
    <row r="216" spans="1:24" s="54" customFormat="1" ht="36" customHeight="1" x14ac:dyDescent="0.25">
      <c r="A216" s="209"/>
      <c r="B216" s="222"/>
      <c r="C216" s="160" t="s">
        <v>2</v>
      </c>
      <c r="D216" s="15">
        <f t="shared" si="190"/>
        <v>0</v>
      </c>
      <c r="E216" s="53">
        <v>0</v>
      </c>
      <c r="F216" s="156">
        <v>0</v>
      </c>
      <c r="G216" s="156">
        <v>0</v>
      </c>
      <c r="H216" s="53">
        <v>0</v>
      </c>
      <c r="I216" s="15">
        <f t="shared" si="191"/>
        <v>0</v>
      </c>
      <c r="J216" s="53">
        <v>0</v>
      </c>
      <c r="K216" s="156">
        <v>0</v>
      </c>
      <c r="L216" s="156">
        <v>0</v>
      </c>
      <c r="M216" s="156">
        <v>0</v>
      </c>
      <c r="N216" s="15">
        <f t="shared" si="196"/>
        <v>0</v>
      </c>
      <c r="O216" s="53">
        <v>0</v>
      </c>
      <c r="P216" s="53">
        <v>0</v>
      </c>
      <c r="Q216" s="53">
        <v>0</v>
      </c>
      <c r="R216" s="53">
        <v>0</v>
      </c>
      <c r="S216" s="136">
        <v>0</v>
      </c>
      <c r="T216" s="59">
        <v>0</v>
      </c>
      <c r="U216" s="62">
        <v>0</v>
      </c>
      <c r="V216" s="59">
        <v>0</v>
      </c>
      <c r="W216" s="59">
        <v>0</v>
      </c>
      <c r="X216" s="62"/>
    </row>
    <row r="217" spans="1:24" s="54" customFormat="1" ht="36" customHeight="1" x14ac:dyDescent="0.25">
      <c r="A217" s="209"/>
      <c r="B217" s="222"/>
      <c r="C217" s="160" t="s">
        <v>4</v>
      </c>
      <c r="D217" s="15">
        <f t="shared" si="190"/>
        <v>1</v>
      </c>
      <c r="E217" s="53">
        <v>0</v>
      </c>
      <c r="F217" s="156">
        <v>0</v>
      </c>
      <c r="G217" s="156">
        <v>0</v>
      </c>
      <c r="H217" s="53">
        <v>1</v>
      </c>
      <c r="I217" s="15">
        <f t="shared" si="191"/>
        <v>1</v>
      </c>
      <c r="J217" s="53">
        <v>0</v>
      </c>
      <c r="K217" s="156">
        <v>0</v>
      </c>
      <c r="L217" s="156">
        <v>0</v>
      </c>
      <c r="M217" s="156">
        <v>1</v>
      </c>
      <c r="N217" s="15">
        <f t="shared" si="196"/>
        <v>0</v>
      </c>
      <c r="O217" s="53">
        <v>0</v>
      </c>
      <c r="P217" s="53">
        <v>0</v>
      </c>
      <c r="Q217" s="53">
        <v>0</v>
      </c>
      <c r="R217" s="53">
        <v>0</v>
      </c>
      <c r="S217" s="18">
        <f t="shared" ref="S217" si="197">I217/D217</f>
        <v>1</v>
      </c>
      <c r="T217" s="59">
        <v>0</v>
      </c>
      <c r="U217" s="62">
        <v>0</v>
      </c>
      <c r="V217" s="59">
        <v>0</v>
      </c>
      <c r="W217" s="59">
        <v>0</v>
      </c>
      <c r="X217" s="62"/>
    </row>
    <row r="218" spans="1:24" s="68" customFormat="1" ht="36" customHeight="1" x14ac:dyDescent="0.25">
      <c r="A218" s="220"/>
      <c r="B218" s="223"/>
      <c r="C218" s="160" t="s">
        <v>21</v>
      </c>
      <c r="D218" s="15">
        <f t="shared" si="190"/>
        <v>1</v>
      </c>
      <c r="E218" s="134">
        <v>0</v>
      </c>
      <c r="F218" s="134">
        <v>0</v>
      </c>
      <c r="G218" s="134">
        <v>0</v>
      </c>
      <c r="H218" s="134">
        <v>1</v>
      </c>
      <c r="I218" s="15">
        <f t="shared" si="191"/>
        <v>1</v>
      </c>
      <c r="J218" s="134">
        <v>0</v>
      </c>
      <c r="K218" s="134">
        <v>0</v>
      </c>
      <c r="L218" s="134">
        <v>0</v>
      </c>
      <c r="M218" s="156">
        <v>1</v>
      </c>
      <c r="N218" s="15">
        <f t="shared" si="196"/>
        <v>0</v>
      </c>
      <c r="O218" s="134">
        <v>0</v>
      </c>
      <c r="P218" s="134">
        <v>0</v>
      </c>
      <c r="Q218" s="134">
        <v>0</v>
      </c>
      <c r="R218" s="134">
        <v>0</v>
      </c>
      <c r="S218" s="18">
        <f t="shared" ref="S218" si="198">I218/D218</f>
        <v>1</v>
      </c>
      <c r="T218" s="137">
        <v>0</v>
      </c>
      <c r="U218" s="137">
        <v>0</v>
      </c>
      <c r="V218" s="137">
        <v>0</v>
      </c>
      <c r="W218" s="137">
        <v>0</v>
      </c>
      <c r="X218" s="67"/>
    </row>
    <row r="219" spans="1:24" s="68" customFormat="1" ht="22.5" hidden="1" customHeight="1" x14ac:dyDescent="0.25">
      <c r="A219" s="161"/>
      <c r="B219" s="138"/>
      <c r="C219" s="28"/>
      <c r="D219" s="135"/>
      <c r="E219" s="134"/>
      <c r="F219" s="134"/>
      <c r="G219" s="134"/>
      <c r="H219" s="134"/>
      <c r="I219" s="15"/>
      <c r="J219" s="134"/>
      <c r="K219" s="134"/>
      <c r="L219" s="134"/>
      <c r="M219" s="134"/>
      <c r="N219" s="135"/>
      <c r="O219" s="134"/>
      <c r="P219" s="134"/>
      <c r="Q219" s="134"/>
      <c r="R219" s="134"/>
      <c r="S219" s="136"/>
      <c r="T219" s="137"/>
      <c r="U219" s="137"/>
      <c r="V219" s="137"/>
      <c r="W219" s="137"/>
      <c r="X219" s="67"/>
    </row>
    <row r="220" spans="1:24" ht="36" hidden="1" customHeight="1" x14ac:dyDescent="0.25">
      <c r="A220" s="6"/>
      <c r="B220" s="217" t="s">
        <v>1</v>
      </c>
      <c r="C220" s="218"/>
      <c r="D220" s="52">
        <f>D215+D211+D207+D203+D199+D187+D139+D123+D115+D99+D67+D59+D43+D171+D151+D23+D7</f>
        <v>13061.37896</v>
      </c>
      <c r="E220" s="52"/>
      <c r="F220" s="52"/>
      <c r="G220" s="52"/>
      <c r="H220" s="52"/>
      <c r="I220" s="52">
        <f>I215+I211+I207+I203+I199+I187+I139+I123+I115+I99+I67+I59+I43+I171+I151+I23+I7</f>
        <v>13004.093800000001</v>
      </c>
      <c r="J220" s="52"/>
      <c r="K220" s="52"/>
      <c r="L220" s="52"/>
      <c r="M220" s="52"/>
      <c r="N220" s="52">
        <f t="shared" ref="N220:N222" si="199">N207+N203+N199+N187+N171+N151+N139+N123+N115+N99+N67+N59+N43+N23+N7</f>
        <v>-57.285159999999451</v>
      </c>
      <c r="O220" s="52"/>
      <c r="P220" s="52"/>
      <c r="Q220" s="52"/>
      <c r="R220" s="52"/>
      <c r="S220" s="52"/>
      <c r="T220" s="52"/>
      <c r="U220" s="52"/>
      <c r="V220" s="52"/>
      <c r="W220" s="52"/>
      <c r="X220" s="6"/>
    </row>
    <row r="221" spans="1:24" ht="36" hidden="1" customHeight="1" x14ac:dyDescent="0.25">
      <c r="A221" s="6"/>
      <c r="B221" s="217" t="s">
        <v>2</v>
      </c>
      <c r="C221" s="218"/>
      <c r="D221" s="52">
        <f>D216+D212+D208+D204+D200+D188+D140+D124+D116+D100+D68+D60+D44+D172+D152+D24+D8</f>
        <v>666432.89761999995</v>
      </c>
      <c r="E221" s="52"/>
      <c r="F221" s="52"/>
      <c r="G221" s="52"/>
      <c r="H221" s="52"/>
      <c r="I221" s="52">
        <f>I216+I212+I208+I204+I200+I188+I140+I124+I116+I100+I68+I60+I44+I172+I152+I24+I8</f>
        <v>635960.28512000002</v>
      </c>
      <c r="J221" s="52"/>
      <c r="K221" s="52"/>
      <c r="L221" s="52"/>
      <c r="M221" s="52"/>
      <c r="N221" s="52">
        <f t="shared" si="199"/>
        <v>-30472.612499999934</v>
      </c>
      <c r="O221" s="52"/>
      <c r="P221" s="52"/>
      <c r="Q221" s="52"/>
      <c r="R221" s="52"/>
      <c r="S221" s="52"/>
      <c r="T221" s="52"/>
      <c r="U221" s="52"/>
      <c r="V221" s="52"/>
      <c r="W221" s="52"/>
      <c r="X221" s="6"/>
    </row>
    <row r="222" spans="1:24" ht="36" hidden="1" customHeight="1" x14ac:dyDescent="0.25">
      <c r="A222" s="6"/>
      <c r="B222" s="203" t="s">
        <v>4</v>
      </c>
      <c r="C222" s="203"/>
      <c r="D222" s="52">
        <f>D217+D213+D209+D205+D201+D189+D141+D125+D117+D101+D69+D61+D45+D173+D153+D25+D9</f>
        <v>541666.58203000005</v>
      </c>
      <c r="E222" s="52"/>
      <c r="F222" s="52"/>
      <c r="G222" s="52"/>
      <c r="H222" s="52"/>
      <c r="I222" s="52">
        <f>I217+I213+I209+I205+I201+I189+I141+I125+I117+I101+I69+I61+I45+I173+I153+I25+I9</f>
        <v>508209.91012999997</v>
      </c>
      <c r="J222" s="52"/>
      <c r="K222" s="52"/>
      <c r="L222" s="52"/>
      <c r="M222" s="52"/>
      <c r="N222" s="52">
        <f t="shared" si="199"/>
        <v>-33456.671900000118</v>
      </c>
      <c r="O222" s="52"/>
      <c r="P222" s="52"/>
      <c r="Q222" s="52"/>
      <c r="R222" s="52"/>
      <c r="S222" s="52"/>
      <c r="T222" s="52"/>
      <c r="U222" s="52"/>
      <c r="V222" s="52"/>
      <c r="W222" s="52"/>
      <c r="X222" s="6"/>
    </row>
    <row r="223" spans="1:24" ht="36" customHeight="1" x14ac:dyDescent="0.25">
      <c r="A223" s="6"/>
      <c r="B223" s="203" t="s">
        <v>309</v>
      </c>
      <c r="C223" s="203"/>
      <c r="D223" s="69">
        <f>D220+D221+D222</f>
        <v>1221160.85861</v>
      </c>
      <c r="E223" s="52"/>
      <c r="F223" s="52"/>
      <c r="G223" s="52"/>
      <c r="H223" s="52"/>
      <c r="I223" s="52">
        <f>I222+I221+I220</f>
        <v>1157174.2890499998</v>
      </c>
      <c r="J223" s="69"/>
      <c r="K223" s="69"/>
      <c r="L223" s="69"/>
      <c r="M223" s="69"/>
      <c r="N223" s="69">
        <f t="shared" ref="N223" si="200">N220+N221+N222</f>
        <v>-63986.569560000047</v>
      </c>
      <c r="O223" s="52"/>
      <c r="P223" s="52"/>
      <c r="Q223" s="52"/>
      <c r="R223" s="52"/>
      <c r="S223" s="149">
        <v>0.94</v>
      </c>
      <c r="T223" s="52"/>
      <c r="U223" s="52"/>
      <c r="V223" s="52"/>
      <c r="W223" s="52"/>
      <c r="X223" s="5"/>
    </row>
    <row r="225" spans="2:9" ht="66" customHeight="1" x14ac:dyDescent="0.25">
      <c r="B225" s="8" t="s">
        <v>319</v>
      </c>
      <c r="I225" s="157"/>
    </row>
  </sheetData>
  <mergeCells count="94">
    <mergeCell ref="A215:A218"/>
    <mergeCell ref="B215:B218"/>
    <mergeCell ref="A43:A58"/>
    <mergeCell ref="B43:B46"/>
    <mergeCell ref="B47:B50"/>
    <mergeCell ref="B51:B54"/>
    <mergeCell ref="B55:B58"/>
    <mergeCell ref="A99:A114"/>
    <mergeCell ref="B99:B102"/>
    <mergeCell ref="B103:B106"/>
    <mergeCell ref="B107:B110"/>
    <mergeCell ref="B111:B114"/>
    <mergeCell ref="A115:A122"/>
    <mergeCell ref="B115:B118"/>
    <mergeCell ref="B119:B122"/>
    <mergeCell ref="A123:A138"/>
    <mergeCell ref="B222:C222"/>
    <mergeCell ref="A139:A150"/>
    <mergeCell ref="A207:A210"/>
    <mergeCell ref="B207:B210"/>
    <mergeCell ref="A151:A158"/>
    <mergeCell ref="B151:B154"/>
    <mergeCell ref="B155:B158"/>
    <mergeCell ref="B159:B162"/>
    <mergeCell ref="B163:B166"/>
    <mergeCell ref="B167:B170"/>
    <mergeCell ref="A159:A170"/>
    <mergeCell ref="B139:B142"/>
    <mergeCell ref="B143:B146"/>
    <mergeCell ref="B147:B150"/>
    <mergeCell ref="A211:A214"/>
    <mergeCell ref="B211:B214"/>
    <mergeCell ref="B223:C223"/>
    <mergeCell ref="A199:A202"/>
    <mergeCell ref="B199:B202"/>
    <mergeCell ref="A171:A186"/>
    <mergeCell ref="B171:B174"/>
    <mergeCell ref="B175:B178"/>
    <mergeCell ref="B179:B182"/>
    <mergeCell ref="B183:B186"/>
    <mergeCell ref="A187:A198"/>
    <mergeCell ref="A203:A206"/>
    <mergeCell ref="B203:B206"/>
    <mergeCell ref="B191:B194"/>
    <mergeCell ref="B195:B198"/>
    <mergeCell ref="B187:B190"/>
    <mergeCell ref="B220:C220"/>
    <mergeCell ref="B221:C221"/>
    <mergeCell ref="B123:B126"/>
    <mergeCell ref="B135:B138"/>
    <mergeCell ref="B127:B130"/>
    <mergeCell ref="B131:B134"/>
    <mergeCell ref="A59:A66"/>
    <mergeCell ref="B59:B62"/>
    <mergeCell ref="B63:B66"/>
    <mergeCell ref="B87:B90"/>
    <mergeCell ref="B91:B94"/>
    <mergeCell ref="A67:A98"/>
    <mergeCell ref="B95:B98"/>
    <mergeCell ref="B67:B70"/>
    <mergeCell ref="B71:B74"/>
    <mergeCell ref="B75:B78"/>
    <mergeCell ref="B79:B82"/>
    <mergeCell ref="B83:B86"/>
    <mergeCell ref="A23:A42"/>
    <mergeCell ref="B23:B26"/>
    <mergeCell ref="B27:B30"/>
    <mergeCell ref="B31:B34"/>
    <mergeCell ref="B35:B38"/>
    <mergeCell ref="B39:B42"/>
    <mergeCell ref="W1:X1"/>
    <mergeCell ref="A2:X2"/>
    <mergeCell ref="A3:G3"/>
    <mergeCell ref="A4:A5"/>
    <mergeCell ref="B4:B5"/>
    <mergeCell ref="C4:C5"/>
    <mergeCell ref="D4:H4"/>
    <mergeCell ref="I4:M4"/>
    <mergeCell ref="N4:R4"/>
    <mergeCell ref="S4:W4"/>
    <mergeCell ref="X4:X5"/>
    <mergeCell ref="A7:A22"/>
    <mergeCell ref="B7:B10"/>
    <mergeCell ref="B11:B14"/>
    <mergeCell ref="B15:B18"/>
    <mergeCell ref="B19:B22"/>
    <mergeCell ref="X123:X134"/>
    <mergeCell ref="X199:X202"/>
    <mergeCell ref="X151:X154"/>
    <mergeCell ref="X155:X158"/>
    <mergeCell ref="X159:X162"/>
    <mergeCell ref="X163:X165"/>
    <mergeCell ref="X167:X170"/>
    <mergeCell ref="X187:X194"/>
  </mergeCells>
  <pageMargins left="0.11811023622047245" right="0" top="0.35433070866141736" bottom="0.39370078740157483" header="0.31496062992125984" footer="0.31496062992125984"/>
  <pageSetup paperSize="9" scale="3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8"/>
  <sheetViews>
    <sheetView view="pageBreakPreview" topLeftCell="A43" zoomScale="60" workbookViewId="0">
      <selection activeCell="I12" sqref="I12"/>
    </sheetView>
  </sheetViews>
  <sheetFormatPr defaultColWidth="9.140625" defaultRowHeight="15" x14ac:dyDescent="0.25"/>
  <cols>
    <col min="1" max="1" width="4.140625" style="4" customWidth="1"/>
    <col min="2" max="2" width="36.42578125" style="4" customWidth="1"/>
    <col min="3" max="3" width="15" style="4" customWidth="1"/>
    <col min="4" max="5" width="15.5703125" style="4" customWidth="1"/>
    <col min="6" max="6" width="19" style="4" customWidth="1"/>
    <col min="7" max="7" width="14" style="4" customWidth="1"/>
    <col min="8" max="8" width="11" style="4" customWidth="1"/>
    <col min="9" max="9" width="34.7109375" style="131" customWidth="1"/>
    <col min="10" max="10" width="9.140625" style="185"/>
    <col min="11" max="16384" width="9.140625" style="4"/>
  </cols>
  <sheetData>
    <row r="1" spans="1:61" ht="16.5" customHeight="1" x14ac:dyDescent="0.25">
      <c r="A1" s="185"/>
      <c r="B1" s="185"/>
      <c r="C1" s="108"/>
      <c r="D1" s="108"/>
      <c r="E1" s="185"/>
      <c r="F1" s="185"/>
      <c r="G1" s="184"/>
      <c r="H1" s="206" t="s">
        <v>18</v>
      </c>
      <c r="I1" s="206"/>
      <c r="J1" s="109"/>
    </row>
    <row r="2" spans="1:61" ht="39.75" customHeight="1" x14ac:dyDescent="0.25">
      <c r="A2" s="226" t="s">
        <v>314</v>
      </c>
      <c r="B2" s="226"/>
      <c r="C2" s="226"/>
      <c r="D2" s="226"/>
      <c r="E2" s="227"/>
      <c r="F2" s="227"/>
      <c r="G2" s="228"/>
      <c r="H2" s="228"/>
      <c r="I2" s="228"/>
      <c r="J2" s="1"/>
    </row>
    <row r="3" spans="1:61" ht="69.75" customHeight="1" x14ac:dyDescent="0.25">
      <c r="A3" s="186" t="s">
        <v>0</v>
      </c>
      <c r="B3" s="186" t="s">
        <v>25</v>
      </c>
      <c r="C3" s="186" t="s">
        <v>16</v>
      </c>
      <c r="D3" s="186" t="s">
        <v>12</v>
      </c>
      <c r="E3" s="110" t="s">
        <v>13</v>
      </c>
      <c r="F3" s="110" t="s">
        <v>22</v>
      </c>
      <c r="G3" s="110" t="s">
        <v>14</v>
      </c>
      <c r="H3" s="110" t="s">
        <v>15</v>
      </c>
      <c r="I3" s="110" t="s">
        <v>78</v>
      </c>
      <c r="J3" s="1"/>
    </row>
    <row r="4" spans="1:61" x14ac:dyDescent="0.25">
      <c r="A4" s="110">
        <v>1</v>
      </c>
      <c r="B4" s="110">
        <v>2</v>
      </c>
      <c r="C4" s="110">
        <v>3</v>
      </c>
      <c r="D4" s="110">
        <v>4</v>
      </c>
      <c r="E4" s="182">
        <v>5</v>
      </c>
      <c r="F4" s="182">
        <v>6</v>
      </c>
      <c r="G4" s="110" t="s">
        <v>17</v>
      </c>
      <c r="H4" s="110">
        <v>8</v>
      </c>
      <c r="I4" s="111">
        <v>9</v>
      </c>
      <c r="J4" s="112"/>
    </row>
    <row r="5" spans="1:61" ht="46.5" customHeight="1" x14ac:dyDescent="0.25">
      <c r="A5" s="229" t="s">
        <v>23</v>
      </c>
      <c r="B5" s="46" t="s">
        <v>41</v>
      </c>
      <c r="C5" s="46">
        <f>C6+C7+C8</f>
        <v>713036.62599999993</v>
      </c>
      <c r="D5" s="46">
        <f t="shared" ref="D5:F5" si="0">D6+D7+D8</f>
        <v>713036.62599999993</v>
      </c>
      <c r="E5" s="46">
        <f t="shared" si="0"/>
        <v>797712.46799999999</v>
      </c>
      <c r="F5" s="46">
        <f t="shared" si="0"/>
        <v>774963.70827000006</v>
      </c>
      <c r="G5" s="46">
        <f>F5-E5</f>
        <v>-22748.759729999932</v>
      </c>
      <c r="H5" s="18">
        <f>F5/E5</f>
        <v>0.97148250699022554</v>
      </c>
      <c r="I5" s="113"/>
      <c r="J5" s="274"/>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row>
    <row r="6" spans="1:61" s="5" customFormat="1" ht="50.25" customHeight="1" x14ac:dyDescent="0.25">
      <c r="A6" s="230"/>
      <c r="B6" s="114" t="s">
        <v>255</v>
      </c>
      <c r="C6" s="5">
        <v>673488.62</v>
      </c>
      <c r="D6" s="5">
        <v>673488.62</v>
      </c>
      <c r="E6" s="5">
        <v>755966.14399999997</v>
      </c>
      <c r="F6" s="5">
        <v>736331.93900000001</v>
      </c>
      <c r="G6" s="165">
        <f>F6-E6</f>
        <v>-19634.204999999958</v>
      </c>
      <c r="H6" s="20">
        <f>F6/E6</f>
        <v>0.9740276662442704</v>
      </c>
      <c r="I6" s="165"/>
      <c r="J6" s="2"/>
      <c r="K6" s="185"/>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row>
    <row r="7" spans="1:61" s="5" customFormat="1" ht="48" customHeight="1" x14ac:dyDescent="0.25">
      <c r="A7" s="230"/>
      <c r="B7" s="114" t="s">
        <v>256</v>
      </c>
      <c r="C7" s="5">
        <v>1280.5999999999999</v>
      </c>
      <c r="D7" s="5">
        <v>1280.5999999999999</v>
      </c>
      <c r="E7" s="5">
        <v>2850</v>
      </c>
      <c r="F7" s="5">
        <v>2300.7272699999999</v>
      </c>
      <c r="G7" s="165">
        <f t="shared" ref="G7:G8" si="1">F7-E7</f>
        <v>-549.27273000000014</v>
      </c>
      <c r="H7" s="20">
        <f t="shared" ref="H7:H8" si="2">F7/E7</f>
        <v>0.80727272631578939</v>
      </c>
      <c r="I7" s="89" t="s">
        <v>372</v>
      </c>
      <c r="J7" s="2"/>
      <c r="K7" s="185"/>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row>
    <row r="8" spans="1:61" s="116" customFormat="1" ht="58.5" customHeight="1" x14ac:dyDescent="0.25">
      <c r="A8" s="231"/>
      <c r="B8" s="114" t="s">
        <v>257</v>
      </c>
      <c r="C8" s="166">
        <v>38267.406000000003</v>
      </c>
      <c r="D8" s="166">
        <v>38267.406000000003</v>
      </c>
      <c r="E8" s="5">
        <v>38896.324000000001</v>
      </c>
      <c r="F8" s="5">
        <v>36331.042000000001</v>
      </c>
      <c r="G8" s="165">
        <f t="shared" si="1"/>
        <v>-2565.2819999999992</v>
      </c>
      <c r="H8" s="20">
        <f t="shared" si="2"/>
        <v>0.93404821494185419</v>
      </c>
      <c r="I8" s="89" t="s">
        <v>373</v>
      </c>
      <c r="J8" s="115"/>
      <c r="K8" s="185"/>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row>
    <row r="9" spans="1:61" ht="57" x14ac:dyDescent="0.25">
      <c r="A9" s="232" t="s">
        <v>355</v>
      </c>
      <c r="B9" s="46" t="s">
        <v>42</v>
      </c>
      <c r="C9" s="275">
        <f>C10+C11+C12+C13</f>
        <v>51964.515999999996</v>
      </c>
      <c r="D9" s="275">
        <f t="shared" ref="D9:F9" si="3">D10+D11+D12+D13</f>
        <v>51964.515999999996</v>
      </c>
      <c r="E9" s="275">
        <f t="shared" si="3"/>
        <v>56866.961000000003</v>
      </c>
      <c r="F9" s="275">
        <f t="shared" si="3"/>
        <v>56819.267999999996</v>
      </c>
      <c r="G9" s="46">
        <f t="shared" ref="G9:G15" si="4">F9-E9</f>
        <v>-47.693000000006577</v>
      </c>
      <c r="H9" s="18">
        <f t="shared" ref="H9:H15" si="5">F9/E9</f>
        <v>0.9991613232154255</v>
      </c>
      <c r="I9" s="113"/>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row>
    <row r="10" spans="1:61" ht="60" x14ac:dyDescent="0.25">
      <c r="A10" s="233"/>
      <c r="B10" s="45" t="s">
        <v>258</v>
      </c>
      <c r="C10" s="47">
        <v>1640.046</v>
      </c>
      <c r="D10" s="47">
        <v>1640.046</v>
      </c>
      <c r="E10" s="47">
        <v>1668.211</v>
      </c>
      <c r="F10" s="47">
        <v>1655.386</v>
      </c>
      <c r="G10" s="45">
        <f>F10-E10</f>
        <v>-12.825000000000045</v>
      </c>
      <c r="H10" s="20">
        <f>F10/E10</f>
        <v>0.99231212358628496</v>
      </c>
      <c r="I10" s="113"/>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row>
    <row r="11" spans="1:61" ht="237" customHeight="1" x14ac:dyDescent="0.25">
      <c r="A11" s="233"/>
      <c r="B11" s="45" t="s">
        <v>259</v>
      </c>
      <c r="C11" s="47">
        <v>844.87</v>
      </c>
      <c r="D11" s="47">
        <v>844.87</v>
      </c>
      <c r="E11" s="47">
        <v>872.57</v>
      </c>
      <c r="F11" s="45">
        <v>838.88699999999994</v>
      </c>
      <c r="G11" s="45">
        <f>F11-E11</f>
        <v>-33.683000000000106</v>
      </c>
      <c r="H11" s="20">
        <f>F11/E11</f>
        <v>0.96139793942033291</v>
      </c>
      <c r="I11" s="117"/>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row>
    <row r="12" spans="1:61" ht="45" x14ac:dyDescent="0.25">
      <c r="A12" s="233"/>
      <c r="B12" s="45" t="s">
        <v>260</v>
      </c>
      <c r="C12" s="45">
        <v>37946.6</v>
      </c>
      <c r="D12" s="45">
        <v>37946.6</v>
      </c>
      <c r="E12" s="45">
        <v>42042.39</v>
      </c>
      <c r="F12" s="45">
        <v>42042.39</v>
      </c>
      <c r="G12" s="45">
        <f>F12-E12</f>
        <v>0</v>
      </c>
      <c r="H12" s="20">
        <f>F12/E12</f>
        <v>1</v>
      </c>
      <c r="I12" s="118"/>
    </row>
    <row r="13" spans="1:61" ht="68.25" customHeight="1" x14ac:dyDescent="0.25">
      <c r="A13" s="234"/>
      <c r="B13" s="45" t="s">
        <v>261</v>
      </c>
      <c r="C13" s="47">
        <v>11533</v>
      </c>
      <c r="D13" s="47">
        <v>11533</v>
      </c>
      <c r="E13" s="47">
        <v>12283.79</v>
      </c>
      <c r="F13" s="45">
        <v>12282.605</v>
      </c>
      <c r="G13" s="45">
        <f>F13-E13</f>
        <v>-1.1850000000013097</v>
      </c>
      <c r="H13" s="20">
        <f>F13/E13</f>
        <v>0.99990353140195321</v>
      </c>
      <c r="I13" s="119"/>
    </row>
    <row r="14" spans="1:61" ht="71.25" customHeight="1" x14ac:dyDescent="0.25">
      <c r="A14" s="232" t="s">
        <v>356</v>
      </c>
      <c r="B14" s="46" t="s">
        <v>28</v>
      </c>
      <c r="C14" s="275">
        <f>C15+C16+C17</f>
        <v>153311.05900000001</v>
      </c>
      <c r="D14" s="46">
        <f>D15+D16+D17</f>
        <v>153311.05900000001</v>
      </c>
      <c r="E14" s="46">
        <f t="shared" ref="E14:F14" si="6">E15+E16+E17</f>
        <v>103093.11441000001</v>
      </c>
      <c r="F14" s="46">
        <f t="shared" si="6"/>
        <v>77718.963390000004</v>
      </c>
      <c r="G14" s="46">
        <f t="shared" si="4"/>
        <v>-25374.151020000005</v>
      </c>
      <c r="H14" s="18">
        <f t="shared" si="5"/>
        <v>0.75387152512351763</v>
      </c>
      <c r="I14" s="120"/>
    </row>
    <row r="15" spans="1:61" ht="225" x14ac:dyDescent="0.25">
      <c r="A15" s="233"/>
      <c r="B15" s="45" t="s">
        <v>262</v>
      </c>
      <c r="C15" s="47">
        <f>54917.2+82809.3</f>
        <v>137726.5</v>
      </c>
      <c r="D15" s="47">
        <f>54917.2+82809.3</f>
        <v>137726.5</v>
      </c>
      <c r="E15" s="47">
        <f>'Приложение 1'!D50</f>
        <v>87508.555410000001</v>
      </c>
      <c r="F15" s="45">
        <f>'Приложение 1'!I50</f>
        <v>63240.113279999998</v>
      </c>
      <c r="G15" s="45">
        <f t="shared" si="4"/>
        <v>-24268.442130000003</v>
      </c>
      <c r="H15" s="20">
        <f t="shared" si="5"/>
        <v>0.72267349156552596</v>
      </c>
      <c r="I15" s="20" t="s">
        <v>349</v>
      </c>
    </row>
    <row r="16" spans="1:61" ht="42.75" x14ac:dyDescent="0.25">
      <c r="A16" s="233"/>
      <c r="B16" s="45" t="s">
        <v>263</v>
      </c>
      <c r="C16" s="47">
        <v>15386.156999999999</v>
      </c>
      <c r="D16" s="45">
        <v>15386.156999999999</v>
      </c>
      <c r="E16" s="45">
        <v>15386.156999999999</v>
      </c>
      <c r="F16" s="45">
        <f>'Приложение 1'!I54</f>
        <v>14280.448059999999</v>
      </c>
      <c r="G16" s="45">
        <f t="shared" ref="G16:G17" si="7">F16-E16</f>
        <v>-1105.7089400000004</v>
      </c>
      <c r="H16" s="20">
        <f t="shared" ref="H16:H17" si="8">F16/E16</f>
        <v>0.92813612002009338</v>
      </c>
      <c r="I16" s="120"/>
    </row>
    <row r="17" spans="1:9" ht="54" customHeight="1" x14ac:dyDescent="0.25">
      <c r="A17" s="234"/>
      <c r="B17" s="45" t="s">
        <v>29</v>
      </c>
      <c r="C17" s="47">
        <v>198.40199999999999</v>
      </c>
      <c r="D17" s="45">
        <v>198.40199999999999</v>
      </c>
      <c r="E17" s="45">
        <v>198.40199999999999</v>
      </c>
      <c r="F17" s="45">
        <f>'Приложение 1'!I58</f>
        <v>198.40205</v>
      </c>
      <c r="G17" s="45">
        <f t="shared" si="7"/>
        <v>5.0000000015870683E-5</v>
      </c>
      <c r="H17" s="20">
        <f t="shared" si="8"/>
        <v>1.0000002520135887</v>
      </c>
      <c r="I17" s="113"/>
    </row>
    <row r="18" spans="1:9" ht="57" x14ac:dyDescent="0.25">
      <c r="A18" s="232" t="s">
        <v>357</v>
      </c>
      <c r="B18" s="46" t="s">
        <v>43</v>
      </c>
      <c r="C18" s="275">
        <f>C19</f>
        <v>0</v>
      </c>
      <c r="D18" s="275">
        <f t="shared" ref="D18:G18" si="9">D19</f>
        <v>0</v>
      </c>
      <c r="E18" s="275">
        <f t="shared" si="9"/>
        <v>0</v>
      </c>
      <c r="F18" s="275">
        <f t="shared" si="9"/>
        <v>0</v>
      </c>
      <c r="G18" s="275">
        <f t="shared" si="9"/>
        <v>0</v>
      </c>
      <c r="H18" s="18">
        <v>0</v>
      </c>
      <c r="I18" s="120"/>
    </row>
    <row r="19" spans="1:9" ht="42.75" x14ac:dyDescent="0.25">
      <c r="A19" s="234"/>
      <c r="B19" s="45" t="s">
        <v>264</v>
      </c>
      <c r="C19" s="47">
        <v>0</v>
      </c>
      <c r="D19" s="45">
        <v>0</v>
      </c>
      <c r="E19" s="45">
        <v>0</v>
      </c>
      <c r="F19" s="45">
        <v>0</v>
      </c>
      <c r="G19" s="45">
        <f>F19-E19</f>
        <v>0</v>
      </c>
      <c r="H19" s="20">
        <v>0</v>
      </c>
      <c r="I19" s="113"/>
    </row>
    <row r="20" spans="1:9" ht="36" customHeight="1" x14ac:dyDescent="0.25">
      <c r="A20" s="232" t="s">
        <v>358</v>
      </c>
      <c r="B20" s="46" t="s">
        <v>44</v>
      </c>
      <c r="C20" s="121">
        <f>C21+C22+C23+C24+C25</f>
        <v>44049.277999999998</v>
      </c>
      <c r="D20" s="121">
        <f t="shared" ref="D20:E20" si="10">D21+D22+D23+D24+D25</f>
        <v>43880.277999999998</v>
      </c>
      <c r="E20" s="121">
        <f t="shared" si="10"/>
        <v>67310.531999999992</v>
      </c>
      <c r="F20" s="121">
        <f>F21+F22+F23+F24+F25+F26+F27</f>
        <v>65373.884000000005</v>
      </c>
      <c r="G20" s="121">
        <f>F20-E20</f>
        <v>-1936.6479999999865</v>
      </c>
      <c r="H20" s="122">
        <f>F20/E20</f>
        <v>0.97122815787579886</v>
      </c>
      <c r="I20" s="120"/>
    </row>
    <row r="21" spans="1:9" ht="49.5" customHeight="1" x14ac:dyDescent="0.25">
      <c r="A21" s="233"/>
      <c r="B21" s="45" t="s">
        <v>265</v>
      </c>
      <c r="C21" s="49">
        <v>185.5</v>
      </c>
      <c r="D21" s="49">
        <v>185.5</v>
      </c>
      <c r="E21" s="49">
        <v>187.18</v>
      </c>
      <c r="F21" s="49">
        <v>185.5</v>
      </c>
      <c r="G21" s="121">
        <f>F21-E21</f>
        <v>-1.6800000000000068</v>
      </c>
      <c r="H21" s="122">
        <f t="shared" ref="H21:H25" si="11">F21/E21</f>
        <v>0.99102468212415851</v>
      </c>
      <c r="I21" s="123"/>
    </row>
    <row r="22" spans="1:9" ht="63" customHeight="1" x14ac:dyDescent="0.25">
      <c r="A22" s="233"/>
      <c r="B22" s="45" t="s">
        <v>266</v>
      </c>
      <c r="C22" s="48">
        <v>16231.324000000001</v>
      </c>
      <c r="D22" s="48">
        <v>16062.324000000001</v>
      </c>
      <c r="E22" s="48">
        <v>28279.857</v>
      </c>
      <c r="F22" s="48">
        <v>27527.773000000001</v>
      </c>
      <c r="G22" s="121">
        <f t="shared" ref="G22:G25" si="12">F22-E22</f>
        <v>-752.08399999999892</v>
      </c>
      <c r="H22" s="122">
        <f t="shared" si="11"/>
        <v>0.97340566467503709</v>
      </c>
      <c r="I22" s="123"/>
    </row>
    <row r="23" spans="1:9" ht="28.5" x14ac:dyDescent="0.25">
      <c r="A23" s="233"/>
      <c r="B23" s="45" t="s">
        <v>267</v>
      </c>
      <c r="C23" s="49">
        <v>2140.3539999999998</v>
      </c>
      <c r="D23" s="49">
        <v>2140.3539999999998</v>
      </c>
      <c r="E23" s="49">
        <v>3364.4540000000002</v>
      </c>
      <c r="F23" s="49">
        <v>3148.0230000000001</v>
      </c>
      <c r="G23" s="121">
        <f t="shared" si="12"/>
        <v>-216.43100000000004</v>
      </c>
      <c r="H23" s="122">
        <f t="shared" si="11"/>
        <v>0.93567128574205505</v>
      </c>
      <c r="I23" s="124"/>
    </row>
    <row r="24" spans="1:9" ht="45" x14ac:dyDescent="0.25">
      <c r="A24" s="233"/>
      <c r="B24" s="179" t="s">
        <v>268</v>
      </c>
      <c r="C24" s="49">
        <v>12903.477999999999</v>
      </c>
      <c r="D24" s="49">
        <v>12903.477999999999</v>
      </c>
      <c r="E24" s="49">
        <v>19638.016</v>
      </c>
      <c r="F24" s="49">
        <v>18649.95</v>
      </c>
      <c r="G24" s="121">
        <f t="shared" si="12"/>
        <v>-988.06599999999889</v>
      </c>
      <c r="H24" s="122">
        <f t="shared" si="11"/>
        <v>0.94968605789912797</v>
      </c>
      <c r="I24" s="125"/>
    </row>
    <row r="25" spans="1:9" ht="60" x14ac:dyDescent="0.25">
      <c r="A25" s="233"/>
      <c r="B25" s="179" t="s">
        <v>269</v>
      </c>
      <c r="C25" s="49">
        <v>12588.621999999999</v>
      </c>
      <c r="D25" s="49">
        <v>12588.621999999999</v>
      </c>
      <c r="E25" s="49">
        <v>15841.025</v>
      </c>
      <c r="F25" s="49">
        <v>14919.876</v>
      </c>
      <c r="G25" s="121">
        <f t="shared" si="12"/>
        <v>-921.14899999999943</v>
      </c>
      <c r="H25" s="122">
        <f t="shared" si="11"/>
        <v>0.94185041687643323</v>
      </c>
      <c r="I25" s="125"/>
    </row>
    <row r="26" spans="1:9" ht="60" x14ac:dyDescent="0.25">
      <c r="A26" s="233"/>
      <c r="B26" s="179" t="s">
        <v>270</v>
      </c>
      <c r="C26" s="49">
        <v>0</v>
      </c>
      <c r="D26" s="49">
        <v>0</v>
      </c>
      <c r="E26" s="49">
        <v>0</v>
      </c>
      <c r="F26" s="49">
        <v>0</v>
      </c>
      <c r="G26" s="121">
        <v>0</v>
      </c>
      <c r="H26" s="122">
        <v>0</v>
      </c>
      <c r="I26" s="125"/>
    </row>
    <row r="27" spans="1:9" ht="47.25" customHeight="1" x14ac:dyDescent="0.25">
      <c r="A27" s="234"/>
      <c r="B27" s="179" t="s">
        <v>336</v>
      </c>
      <c r="C27" s="49">
        <v>409.47300000000001</v>
      </c>
      <c r="D27" s="49">
        <v>409.47300000000001</v>
      </c>
      <c r="E27" s="49">
        <v>942.97299999999996</v>
      </c>
      <c r="F27" s="49">
        <v>942.76199999999994</v>
      </c>
      <c r="G27" s="121">
        <v>0</v>
      </c>
      <c r="H27" s="122">
        <f>F27/E27</f>
        <v>0.99977623961661677</v>
      </c>
      <c r="I27" s="125"/>
    </row>
    <row r="28" spans="1:9" ht="42.75" x14ac:dyDescent="0.25">
      <c r="A28" s="235" t="s">
        <v>359</v>
      </c>
      <c r="B28" s="110" t="s">
        <v>32</v>
      </c>
      <c r="C28" s="46">
        <f>C29+C30+C31</f>
        <v>10551.888000000001</v>
      </c>
      <c r="D28" s="46">
        <f t="shared" ref="D28:F28" si="13">D29+D30+D31</f>
        <v>17095.32</v>
      </c>
      <c r="E28" s="46">
        <f t="shared" si="13"/>
        <v>52855.654999999999</v>
      </c>
      <c r="F28" s="46">
        <f t="shared" si="13"/>
        <v>41683.141149999996</v>
      </c>
      <c r="G28" s="46">
        <f>F28-E28</f>
        <v>-11172.513850000003</v>
      </c>
      <c r="H28" s="18">
        <f>F28/E28</f>
        <v>0.78862216635097981</v>
      </c>
      <c r="I28" s="179" t="s">
        <v>199</v>
      </c>
    </row>
    <row r="29" spans="1:9" ht="30" x14ac:dyDescent="0.25">
      <c r="A29" s="235"/>
      <c r="B29" s="179" t="s">
        <v>271</v>
      </c>
      <c r="C29" s="45">
        <v>2301.75</v>
      </c>
      <c r="D29" s="45">
        <v>8995.7870000000003</v>
      </c>
      <c r="E29" s="45">
        <v>40099.807999999997</v>
      </c>
      <c r="F29" s="45">
        <f>26932+1881.14115+200</f>
        <v>29013.141149999999</v>
      </c>
      <c r="G29" s="45">
        <f>F29-E29</f>
        <v>-11086.666849999998</v>
      </c>
      <c r="H29" s="20">
        <f>F29/E29</f>
        <v>0.7235231936771368</v>
      </c>
      <c r="I29" s="179" t="s">
        <v>199</v>
      </c>
    </row>
    <row r="30" spans="1:9" ht="30" x14ac:dyDescent="0.25">
      <c r="A30" s="235"/>
      <c r="B30" s="179" t="s">
        <v>272</v>
      </c>
      <c r="C30" s="45">
        <v>1335.48</v>
      </c>
      <c r="D30" s="45">
        <v>1302.5820000000001</v>
      </c>
      <c r="E30" s="45">
        <v>2153.7820000000002</v>
      </c>
      <c r="F30" s="45">
        <v>2070.1999999999998</v>
      </c>
      <c r="G30" s="45">
        <f t="shared" ref="G30:G31" si="14">F30-E30</f>
        <v>-83.582000000000335</v>
      </c>
      <c r="H30" s="20">
        <f t="shared" ref="H30:H31" si="15">F30/E30</f>
        <v>0.96119291553184105</v>
      </c>
      <c r="I30" s="179"/>
    </row>
    <row r="31" spans="1:9" ht="30" x14ac:dyDescent="0.25">
      <c r="A31" s="235"/>
      <c r="B31" s="179" t="s">
        <v>273</v>
      </c>
      <c r="C31" s="45">
        <v>6914.6580000000004</v>
      </c>
      <c r="D31" s="45">
        <v>6796.951</v>
      </c>
      <c r="E31" s="45">
        <v>10602.065000000001</v>
      </c>
      <c r="F31" s="45">
        <v>10599.8</v>
      </c>
      <c r="G31" s="45">
        <f t="shared" si="14"/>
        <v>-2.2650000000012369</v>
      </c>
      <c r="H31" s="20">
        <f t="shared" si="15"/>
        <v>0.99978636237374496</v>
      </c>
      <c r="I31" s="123"/>
    </row>
    <row r="32" spans="1:9" ht="28.5" x14ac:dyDescent="0.25">
      <c r="A32" s="235" t="s">
        <v>360</v>
      </c>
      <c r="B32" s="110" t="s">
        <v>33</v>
      </c>
      <c r="C32" s="46">
        <f>C33</f>
        <v>2576.7130000000002</v>
      </c>
      <c r="D32" s="46">
        <f t="shared" ref="D32:F32" si="16">D33</f>
        <v>3000.62</v>
      </c>
      <c r="E32" s="46">
        <f t="shared" si="16"/>
        <v>3000.62</v>
      </c>
      <c r="F32" s="46">
        <f t="shared" si="16"/>
        <v>3345.5059999999999</v>
      </c>
      <c r="G32" s="46">
        <f>F32-E32</f>
        <v>344.88599999999997</v>
      </c>
      <c r="H32" s="18">
        <f t="shared" ref="H32:H40" si="17">F32/E32</f>
        <v>1.1149382460958068</v>
      </c>
      <c r="I32" s="276"/>
    </row>
    <row r="33" spans="1:9" ht="45" x14ac:dyDescent="0.25">
      <c r="A33" s="235"/>
      <c r="B33" s="179" t="s">
        <v>274</v>
      </c>
      <c r="C33" s="45">
        <v>2576.7130000000002</v>
      </c>
      <c r="D33" s="45">
        <v>3000.62</v>
      </c>
      <c r="E33" s="45">
        <v>3000.62</v>
      </c>
      <c r="F33" s="45">
        <v>3345.5059999999999</v>
      </c>
      <c r="G33" s="45">
        <f>F33-E33</f>
        <v>344.88599999999997</v>
      </c>
      <c r="H33" s="20">
        <f t="shared" si="17"/>
        <v>1.1149382460958068</v>
      </c>
      <c r="I33" s="125"/>
    </row>
    <row r="34" spans="1:9" ht="28.5" customHeight="1" x14ac:dyDescent="0.25">
      <c r="A34" s="235" t="s">
        <v>361</v>
      </c>
      <c r="B34" s="110" t="s">
        <v>34</v>
      </c>
      <c r="C34" s="46">
        <f>C35+C36</f>
        <v>28959.022000000001</v>
      </c>
      <c r="D34" s="46">
        <f t="shared" ref="D34:F34" si="18">D35+D36</f>
        <v>28959.022000000001</v>
      </c>
      <c r="E34" s="46">
        <f t="shared" si="18"/>
        <v>5136.875</v>
      </c>
      <c r="F34" s="46">
        <f t="shared" si="18"/>
        <v>4865.1270000000004</v>
      </c>
      <c r="G34" s="46">
        <f>F34-E34</f>
        <v>-271.74799999999959</v>
      </c>
      <c r="H34" s="18">
        <f t="shared" si="17"/>
        <v>0.94709857646915696</v>
      </c>
      <c r="I34" s="82"/>
    </row>
    <row r="35" spans="1:9" ht="30" x14ac:dyDescent="0.25">
      <c r="A35" s="235"/>
      <c r="B35" s="179" t="s">
        <v>275</v>
      </c>
      <c r="C35" s="45">
        <v>574.08799999999997</v>
      </c>
      <c r="D35" s="45">
        <v>574.08799999999997</v>
      </c>
      <c r="E35" s="45">
        <v>574.08799999999997</v>
      </c>
      <c r="F35" s="45">
        <f>'Приложение 1'!I130</f>
        <v>302.33999999999997</v>
      </c>
      <c r="G35" s="45">
        <f>F35-E35</f>
        <v>-271.74799999999999</v>
      </c>
      <c r="H35" s="20">
        <f t="shared" si="17"/>
        <v>0.52664399882944779</v>
      </c>
      <c r="I35" s="33" t="s">
        <v>353</v>
      </c>
    </row>
    <row r="36" spans="1:9" ht="45" x14ac:dyDescent="0.25">
      <c r="A36" s="235"/>
      <c r="B36" s="179" t="s">
        <v>276</v>
      </c>
      <c r="C36" s="45">
        <v>28384.934000000001</v>
      </c>
      <c r="D36" s="45">
        <v>28384.934000000001</v>
      </c>
      <c r="E36" s="45">
        <v>4562.7870000000003</v>
      </c>
      <c r="F36" s="45">
        <f>'Приложение 1'!I134</f>
        <v>4562.7870000000003</v>
      </c>
      <c r="G36" s="45">
        <f>F36-E36</f>
        <v>0</v>
      </c>
      <c r="H36" s="20">
        <f t="shared" si="17"/>
        <v>1</v>
      </c>
      <c r="I36" s="33" t="s">
        <v>354</v>
      </c>
    </row>
    <row r="37" spans="1:9" ht="28.5" x14ac:dyDescent="0.25">
      <c r="A37" s="235" t="s">
        <v>362</v>
      </c>
      <c r="B37" s="110" t="s">
        <v>35</v>
      </c>
      <c r="C37" s="46">
        <f>C38+C39</f>
        <v>1275.46</v>
      </c>
      <c r="D37" s="46">
        <f t="shared" ref="D37:F37" si="19">D38+D39</f>
        <v>1268.0999999999999</v>
      </c>
      <c r="E37" s="46">
        <f t="shared" si="19"/>
        <v>1275.46</v>
      </c>
      <c r="F37" s="46">
        <f t="shared" si="19"/>
        <v>1120.47</v>
      </c>
      <c r="G37" s="46">
        <f t="shared" ref="G37:G42" si="20">F37-E37</f>
        <v>-154.99</v>
      </c>
      <c r="H37" s="18">
        <f t="shared" si="17"/>
        <v>0.87848305709312713</v>
      </c>
      <c r="I37" s="197" t="s">
        <v>311</v>
      </c>
    </row>
    <row r="38" spans="1:9" ht="30" x14ac:dyDescent="0.25">
      <c r="A38" s="235"/>
      <c r="B38" s="179" t="s">
        <v>277</v>
      </c>
      <c r="C38" s="45">
        <v>501.1</v>
      </c>
      <c r="D38" s="45">
        <v>501.1</v>
      </c>
      <c r="E38" s="45">
        <v>501.1</v>
      </c>
      <c r="F38" s="45">
        <v>406.48700000000002</v>
      </c>
      <c r="G38" s="45">
        <f t="shared" si="20"/>
        <v>-94.613</v>
      </c>
      <c r="H38" s="20">
        <f t="shared" si="17"/>
        <v>0.8111893833566155</v>
      </c>
      <c r="I38" s="199"/>
    </row>
    <row r="39" spans="1:9" ht="45" x14ac:dyDescent="0.25">
      <c r="A39" s="235"/>
      <c r="B39" s="179" t="s">
        <v>278</v>
      </c>
      <c r="C39" s="45">
        <v>774.36</v>
      </c>
      <c r="D39" s="45">
        <v>767</v>
      </c>
      <c r="E39" s="45">
        <v>774.36</v>
      </c>
      <c r="F39" s="45">
        <v>713.98299999999995</v>
      </c>
      <c r="G39" s="45">
        <f t="shared" si="20"/>
        <v>-60.377000000000066</v>
      </c>
      <c r="H39" s="20">
        <f t="shared" si="17"/>
        <v>0.92202980525853595</v>
      </c>
      <c r="I39" s="125"/>
    </row>
    <row r="40" spans="1:9" ht="42.75" x14ac:dyDescent="0.25">
      <c r="A40" s="235" t="s">
        <v>363</v>
      </c>
      <c r="B40" s="110" t="s">
        <v>36</v>
      </c>
      <c r="C40" s="46">
        <f>C41+C42+C43</f>
        <v>7491.1110000000008</v>
      </c>
      <c r="D40" s="46">
        <v>0</v>
      </c>
      <c r="E40" s="46">
        <f t="shared" ref="E40:F40" si="21">E41+E42+E43</f>
        <v>7726.4950000000008</v>
      </c>
      <c r="F40" s="46">
        <f t="shared" si="21"/>
        <v>7724.7129999999997</v>
      </c>
      <c r="G40" s="46">
        <f t="shared" si="20"/>
        <v>-1.7820000000010623</v>
      </c>
      <c r="H40" s="18">
        <f t="shared" si="17"/>
        <v>0.99976936502256186</v>
      </c>
      <c r="I40" s="276"/>
    </row>
    <row r="41" spans="1:9" ht="45" x14ac:dyDescent="0.25">
      <c r="A41" s="235"/>
      <c r="B41" s="179" t="s">
        <v>279</v>
      </c>
      <c r="C41" s="48">
        <v>5136.5110000000004</v>
      </c>
      <c r="D41" s="48">
        <f>5136.511</f>
        <v>5136.5110000000004</v>
      </c>
      <c r="E41" s="48">
        <v>5371.8950000000004</v>
      </c>
      <c r="F41" s="49">
        <v>5370.1130000000003</v>
      </c>
      <c r="G41" s="49">
        <f>F41-E41</f>
        <v>-1.7820000000001528</v>
      </c>
      <c r="H41" s="50">
        <f>F41*100%/E41</f>
        <v>0.99966827348635812</v>
      </c>
      <c r="I41" s="126"/>
    </row>
    <row r="42" spans="1:9" ht="45" x14ac:dyDescent="0.25">
      <c r="A42" s="235"/>
      <c r="B42" s="179" t="s">
        <v>280</v>
      </c>
      <c r="C42" s="48">
        <v>1389.6</v>
      </c>
      <c r="D42" s="49">
        <v>1389.6</v>
      </c>
      <c r="E42" s="49">
        <v>1389.6</v>
      </c>
      <c r="F42" s="49">
        <v>1389.6</v>
      </c>
      <c r="G42" s="49">
        <f t="shared" si="20"/>
        <v>0</v>
      </c>
      <c r="H42" s="50">
        <f>F42*100%/E42</f>
        <v>1</v>
      </c>
      <c r="I42" s="126"/>
    </row>
    <row r="43" spans="1:9" ht="81.75" customHeight="1" x14ac:dyDescent="0.25">
      <c r="A43" s="235"/>
      <c r="B43" s="180" t="s">
        <v>391</v>
      </c>
      <c r="C43" s="188">
        <v>965</v>
      </c>
      <c r="D43" s="189">
        <v>965</v>
      </c>
      <c r="E43" s="189">
        <v>965</v>
      </c>
      <c r="F43" s="189">
        <v>965</v>
      </c>
      <c r="G43" s="189">
        <f>F43-E43</f>
        <v>0</v>
      </c>
      <c r="H43" s="190">
        <f>F43*100%/E43</f>
        <v>1</v>
      </c>
      <c r="I43" s="126"/>
    </row>
    <row r="44" spans="1:9" ht="28.5" x14ac:dyDescent="0.25">
      <c r="A44" s="235" t="s">
        <v>364</v>
      </c>
      <c r="B44" s="110" t="s">
        <v>37</v>
      </c>
      <c r="C44" s="275">
        <f>C45+C46+C47</f>
        <v>115272.31934</v>
      </c>
      <c r="D44" s="275">
        <f t="shared" ref="D44:F44" si="22">D45+D46+D47</f>
        <v>67276.978759999998</v>
      </c>
      <c r="E44" s="275">
        <f t="shared" si="22"/>
        <v>115272.31934</v>
      </c>
      <c r="F44" s="275">
        <f t="shared" si="22"/>
        <v>115188.97300000001</v>
      </c>
      <c r="G44" s="46">
        <f>F44-E44</f>
        <v>-83.346339999989141</v>
      </c>
      <c r="H44" s="18">
        <f>-F44/E44</f>
        <v>-0.99927696136872068</v>
      </c>
      <c r="I44" s="277"/>
    </row>
    <row r="45" spans="1:9" ht="90" x14ac:dyDescent="0.25">
      <c r="A45" s="235"/>
      <c r="B45" s="179" t="s">
        <v>281</v>
      </c>
      <c r="C45" s="45">
        <v>103619.7746</v>
      </c>
      <c r="D45" s="45">
        <v>55628.254760000003</v>
      </c>
      <c r="E45" s="45">
        <v>103619.7746</v>
      </c>
      <c r="F45" s="45">
        <v>103537.44500000001</v>
      </c>
      <c r="G45" s="45">
        <f>F45-E45</f>
        <v>-82.329599999997299</v>
      </c>
      <c r="H45" s="20">
        <f>F45/E45*100%</f>
        <v>0.99920546439791236</v>
      </c>
      <c r="I45" s="123"/>
    </row>
    <row r="46" spans="1:9" ht="45" x14ac:dyDescent="0.25">
      <c r="A46" s="235"/>
      <c r="B46" s="179" t="s">
        <v>282</v>
      </c>
      <c r="C46" s="45">
        <v>6.4660000000000002</v>
      </c>
      <c r="D46" s="45">
        <v>88.620999999999995</v>
      </c>
      <c r="E46" s="45">
        <v>6.4660000000000002</v>
      </c>
      <c r="F46" s="45">
        <v>6.4660000000000002</v>
      </c>
      <c r="G46" s="45">
        <f t="shared" ref="G46:G47" si="23">F46-E46</f>
        <v>0</v>
      </c>
      <c r="H46" s="20">
        <f t="shared" ref="H46:H47" si="24">F46/E46*100%</f>
        <v>1</v>
      </c>
      <c r="I46" s="123"/>
    </row>
    <row r="47" spans="1:9" ht="45" x14ac:dyDescent="0.25">
      <c r="A47" s="235"/>
      <c r="B47" s="179" t="s">
        <v>283</v>
      </c>
      <c r="C47" s="45">
        <v>11646.078740000001</v>
      </c>
      <c r="D47" s="45">
        <v>11560.102999999999</v>
      </c>
      <c r="E47" s="45">
        <v>11646.078740000001</v>
      </c>
      <c r="F47" s="45">
        <v>11645.062</v>
      </c>
      <c r="G47" s="45">
        <f t="shared" si="23"/>
        <v>-1.0167400000009366</v>
      </c>
      <c r="H47" s="20">
        <f t="shared" si="24"/>
        <v>0.99991269679497286</v>
      </c>
      <c r="I47" s="123"/>
    </row>
    <row r="48" spans="1:9" ht="42.75" customHeight="1" x14ac:dyDescent="0.25">
      <c r="A48" s="235" t="s">
        <v>365</v>
      </c>
      <c r="B48" s="110" t="s">
        <v>38</v>
      </c>
      <c r="C48" s="46">
        <f>C49</f>
        <v>72.186999999999998</v>
      </c>
      <c r="D48" s="46">
        <f t="shared" ref="D48:H48" si="25">D49</f>
        <v>72.186999999999998</v>
      </c>
      <c r="E48" s="46">
        <f t="shared" si="25"/>
        <v>194.18700000000001</v>
      </c>
      <c r="F48" s="46">
        <f t="shared" si="25"/>
        <v>194.20699999999999</v>
      </c>
      <c r="G48" s="46">
        <f t="shared" si="25"/>
        <v>1.999999999998181E-2</v>
      </c>
      <c r="H48" s="46">
        <f t="shared" si="25"/>
        <v>1.0001029935062593</v>
      </c>
      <c r="I48" s="197"/>
    </row>
    <row r="49" spans="1:10" ht="45" x14ac:dyDescent="0.25">
      <c r="A49" s="235"/>
      <c r="B49" s="179" t="s">
        <v>284</v>
      </c>
      <c r="C49" s="45">
        <v>72.186999999999998</v>
      </c>
      <c r="D49" s="45">
        <v>72.186999999999998</v>
      </c>
      <c r="E49" s="45">
        <v>194.18700000000001</v>
      </c>
      <c r="F49" s="45">
        <v>194.20699999999999</v>
      </c>
      <c r="G49" s="45">
        <f>F49-E49</f>
        <v>1.999999999998181E-2</v>
      </c>
      <c r="H49" s="20">
        <f>F49/E49</f>
        <v>1.0001029935062593</v>
      </c>
      <c r="I49" s="199"/>
    </row>
    <row r="50" spans="1:10" ht="75" x14ac:dyDescent="0.25">
      <c r="A50" s="235"/>
      <c r="B50" s="179" t="s">
        <v>285</v>
      </c>
      <c r="C50" s="45">
        <v>0</v>
      </c>
      <c r="D50" s="45">
        <v>0</v>
      </c>
      <c r="E50" s="45">
        <v>0</v>
      </c>
      <c r="F50" s="45">
        <v>0</v>
      </c>
      <c r="G50" s="45">
        <v>0</v>
      </c>
      <c r="H50" s="20">
        <v>0</v>
      </c>
      <c r="I50" s="125"/>
    </row>
    <row r="51" spans="1:10" ht="42.75" x14ac:dyDescent="0.25">
      <c r="A51" s="183" t="s">
        <v>366</v>
      </c>
      <c r="B51" s="186" t="s">
        <v>179</v>
      </c>
      <c r="C51" s="275">
        <v>240.62299999999999</v>
      </c>
      <c r="D51" s="275">
        <v>240.62299999999999</v>
      </c>
      <c r="E51" s="275">
        <v>240.62299999999999</v>
      </c>
      <c r="F51" s="275">
        <v>4060.5095700000002</v>
      </c>
      <c r="G51" s="46">
        <v>0</v>
      </c>
      <c r="H51" s="18">
        <v>1</v>
      </c>
      <c r="I51" s="113"/>
    </row>
    <row r="52" spans="1:10" ht="71.25" x14ac:dyDescent="0.25">
      <c r="A52" s="183" t="s">
        <v>386</v>
      </c>
      <c r="B52" s="110" t="s">
        <v>39</v>
      </c>
      <c r="C52" s="46">
        <f>3600.239+33.6063</f>
        <v>3633.8453</v>
      </c>
      <c r="D52" s="46">
        <f>3600.239+33.6063</f>
        <v>3633.8453</v>
      </c>
      <c r="E52" s="46">
        <f>3600.239+33.6063</f>
        <v>3633.8453</v>
      </c>
      <c r="F52" s="46">
        <f>3410.215+33.6063</f>
        <v>3443.8213000000001</v>
      </c>
      <c r="G52" s="46">
        <f>F52-E52</f>
        <v>-190.02399999999989</v>
      </c>
      <c r="H52" s="18">
        <f>F52/E52</f>
        <v>0.94770718500317008</v>
      </c>
      <c r="I52" s="123"/>
    </row>
    <row r="53" spans="1:10" ht="42.75" x14ac:dyDescent="0.25">
      <c r="A53" s="183" t="s">
        <v>387</v>
      </c>
      <c r="B53" s="110" t="s">
        <v>40</v>
      </c>
      <c r="C53" s="46">
        <v>575.88599999999997</v>
      </c>
      <c r="D53" s="46">
        <v>673.08</v>
      </c>
      <c r="E53" s="46">
        <v>673.08</v>
      </c>
      <c r="F53" s="46">
        <v>670.99699999999996</v>
      </c>
      <c r="G53" s="46">
        <v>-2.0830000000000002</v>
      </c>
      <c r="H53" s="278">
        <v>0.997</v>
      </c>
      <c r="I53" s="125"/>
    </row>
    <row r="54" spans="1:10" ht="71.25" x14ac:dyDescent="0.25">
      <c r="A54" s="183" t="s">
        <v>388</v>
      </c>
      <c r="B54" s="110" t="s">
        <v>318</v>
      </c>
      <c r="C54" s="46">
        <v>0</v>
      </c>
      <c r="D54" s="46">
        <v>0</v>
      </c>
      <c r="E54" s="46">
        <v>0</v>
      </c>
      <c r="F54" s="46">
        <v>0</v>
      </c>
      <c r="G54" s="46">
        <v>0</v>
      </c>
      <c r="H54" s="18">
        <v>0</v>
      </c>
      <c r="I54" s="279"/>
    </row>
    <row r="55" spans="1:10" ht="85.5" x14ac:dyDescent="0.25">
      <c r="A55" s="183" t="s">
        <v>389</v>
      </c>
      <c r="B55" s="110" t="s">
        <v>342</v>
      </c>
      <c r="C55" s="46">
        <v>1</v>
      </c>
      <c r="D55" s="46">
        <v>1</v>
      </c>
      <c r="E55" s="46">
        <v>1</v>
      </c>
      <c r="F55" s="46">
        <v>1</v>
      </c>
      <c r="G55" s="46">
        <v>0</v>
      </c>
      <c r="H55" s="18">
        <v>1</v>
      </c>
      <c r="I55" s="279"/>
    </row>
    <row r="56" spans="1:10" ht="33.75" customHeight="1" x14ac:dyDescent="0.25">
      <c r="A56" s="236"/>
      <c r="B56" s="236"/>
      <c r="C56" s="127">
        <f>C55+C54+C53+C52+C51+C48+C37+C34+C32+C28+C20+C18+C14+C5+C9+C40+C44</f>
        <v>1133011.53364</v>
      </c>
      <c r="D56" s="127">
        <f>D55+D54+D53+D52+D51+D48+D37+D34+D32+D28+D20+D18+D14</f>
        <v>252135.13430000001</v>
      </c>
      <c r="E56" s="127">
        <f>E55+E54+E53+E52+E51+E48+E37+E34+E32+E28+E20+E18+E14</f>
        <v>237414.99171</v>
      </c>
      <c r="F56" s="127">
        <f>F55+F54+F53+F52+F51+F48+F37+F34+F32+F28+F20+F18+F14+F44+F40+F9+F5</f>
        <v>1157174.28868</v>
      </c>
      <c r="G56" s="127">
        <f>- 72872.816+0</f>
        <v>-72872.816000000006</v>
      </c>
      <c r="H56" s="128"/>
      <c r="I56" s="125"/>
    </row>
    <row r="58" spans="1:10" s="8" customFormat="1" x14ac:dyDescent="0.25">
      <c r="B58" s="8" t="s">
        <v>319</v>
      </c>
      <c r="I58" s="129"/>
      <c r="J58" s="130"/>
    </row>
  </sheetData>
  <mergeCells count="17">
    <mergeCell ref="I48:I49"/>
    <mergeCell ref="I37:I38"/>
    <mergeCell ref="A56:B56"/>
    <mergeCell ref="A37:A39"/>
    <mergeCell ref="A40:A43"/>
    <mergeCell ref="A44:A47"/>
    <mergeCell ref="A48:A50"/>
    <mergeCell ref="A18:A19"/>
    <mergeCell ref="A28:A31"/>
    <mergeCell ref="A32:A33"/>
    <mergeCell ref="A34:A36"/>
    <mergeCell ref="A20:A27"/>
    <mergeCell ref="A2:I2"/>
    <mergeCell ref="H1:I1"/>
    <mergeCell ref="A5:A8"/>
    <mergeCell ref="A9:A13"/>
    <mergeCell ref="A14:A17"/>
  </mergeCells>
  <pageMargins left="0.19685039370078741" right="0.19685039370078741" top="0.19685039370078741" bottom="0.19685039370078741"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7"/>
  <sheetViews>
    <sheetView tabSelected="1" view="pageBreakPreview" zoomScale="60" zoomScaleNormal="75" workbookViewId="0">
      <selection activeCell="F77" sqref="F77"/>
    </sheetView>
  </sheetViews>
  <sheetFormatPr defaultColWidth="9.140625" defaultRowHeight="12.75" x14ac:dyDescent="0.2"/>
  <cols>
    <col min="1" max="1" width="5.28515625" style="71" customWidth="1"/>
    <col min="2" max="2" width="47.5703125" style="12" customWidth="1"/>
    <col min="3" max="3" width="39.140625" style="12" customWidth="1"/>
    <col min="4" max="4" width="13.7109375" style="12" customWidth="1"/>
    <col min="5" max="5" width="14.5703125" style="12" customWidth="1"/>
    <col min="6" max="6" width="19.85546875" style="12" customWidth="1"/>
    <col min="7" max="7" width="11.85546875" style="12" customWidth="1"/>
    <col min="8" max="8" width="35.5703125" style="12" customWidth="1"/>
    <col min="9" max="14" width="9.140625" style="72"/>
    <col min="15" max="16384" width="9.140625" style="12"/>
  </cols>
  <sheetData>
    <row r="1" spans="1:27" x14ac:dyDescent="0.2">
      <c r="A1" s="148"/>
      <c r="B1" s="72"/>
      <c r="C1" s="72"/>
      <c r="D1" s="72"/>
      <c r="E1" s="72"/>
      <c r="F1" s="72"/>
      <c r="G1" s="72"/>
      <c r="H1" s="72" t="s">
        <v>97</v>
      </c>
    </row>
    <row r="2" spans="1:27" x14ac:dyDescent="0.2">
      <c r="A2" s="148"/>
      <c r="B2" s="272" t="s">
        <v>313</v>
      </c>
      <c r="C2" s="272"/>
      <c r="D2" s="272"/>
      <c r="E2" s="272"/>
      <c r="F2" s="272"/>
      <c r="G2" s="272"/>
      <c r="H2" s="272"/>
      <c r="I2" s="73"/>
      <c r="J2" s="73"/>
    </row>
    <row r="3" spans="1:27" x14ac:dyDescent="0.2">
      <c r="A3" s="148"/>
      <c r="B3" s="72"/>
      <c r="C3" s="72"/>
      <c r="D3" s="72"/>
      <c r="E3" s="72"/>
      <c r="F3" s="72"/>
      <c r="G3" s="72"/>
      <c r="H3" s="72"/>
    </row>
    <row r="4" spans="1:27" ht="100.5" customHeight="1" x14ac:dyDescent="0.2">
      <c r="A4" s="37"/>
      <c r="B4" s="145" t="s">
        <v>79</v>
      </c>
      <c r="C4" s="145" t="s">
        <v>80</v>
      </c>
      <c r="D4" s="145" t="s">
        <v>81</v>
      </c>
      <c r="E4" s="41" t="s">
        <v>98</v>
      </c>
      <c r="F4" s="41" t="s">
        <v>352</v>
      </c>
      <c r="G4" s="41" t="s">
        <v>82</v>
      </c>
      <c r="H4" s="145" t="s">
        <v>95</v>
      </c>
    </row>
    <row r="5" spans="1:27" ht="24.75" customHeight="1" x14ac:dyDescent="0.2">
      <c r="A5" s="37">
        <v>1</v>
      </c>
      <c r="B5" s="243" t="s">
        <v>83</v>
      </c>
      <c r="C5" s="243"/>
      <c r="D5" s="243"/>
      <c r="E5" s="243"/>
      <c r="F5" s="243"/>
      <c r="G5" s="243"/>
      <c r="H5" s="243"/>
      <c r="I5" s="9"/>
      <c r="J5" s="9"/>
      <c r="K5" s="9"/>
      <c r="L5" s="9"/>
      <c r="M5" s="9"/>
      <c r="N5" s="9"/>
      <c r="O5" s="10"/>
      <c r="P5" s="10"/>
      <c r="Q5" s="10"/>
      <c r="R5" s="10"/>
      <c r="S5" s="10"/>
      <c r="T5" s="10"/>
      <c r="U5" s="10"/>
      <c r="V5" s="10"/>
      <c r="W5" s="10"/>
      <c r="X5" s="10"/>
      <c r="Y5" s="10"/>
      <c r="Z5" s="10"/>
      <c r="AA5" s="11"/>
    </row>
    <row r="6" spans="1:27" ht="62.25" customHeight="1" x14ac:dyDescent="0.2">
      <c r="A6" s="237" t="s">
        <v>83</v>
      </c>
      <c r="B6" s="238"/>
      <c r="C6" s="29" t="s">
        <v>106</v>
      </c>
      <c r="D6" s="30" t="s">
        <v>120</v>
      </c>
      <c r="E6" s="31">
        <v>96</v>
      </c>
      <c r="F6" s="145">
        <v>92.9</v>
      </c>
      <c r="G6" s="38">
        <f t="shared" ref="G6:G26" si="0">F6/E6</f>
        <v>0.96770833333333339</v>
      </c>
      <c r="H6" s="32"/>
      <c r="I6" s="9"/>
      <c r="J6" s="9"/>
      <c r="K6" s="9"/>
      <c r="L6" s="9"/>
      <c r="M6" s="9"/>
      <c r="N6" s="9"/>
      <c r="O6" s="9"/>
      <c r="P6" s="9"/>
      <c r="Q6" s="9"/>
      <c r="R6" s="9"/>
      <c r="S6" s="9"/>
      <c r="T6" s="9"/>
      <c r="U6" s="9"/>
      <c r="V6" s="9"/>
      <c r="W6" s="9"/>
      <c r="X6" s="9"/>
      <c r="Y6" s="9"/>
      <c r="Z6" s="9"/>
      <c r="AA6" s="9"/>
    </row>
    <row r="7" spans="1:27" ht="123.75" customHeight="1" x14ac:dyDescent="0.2">
      <c r="A7" s="239"/>
      <c r="B7" s="240"/>
      <c r="C7" s="33" t="s">
        <v>107</v>
      </c>
      <c r="D7" s="30" t="s">
        <v>120</v>
      </c>
      <c r="E7" s="30">
        <v>100</v>
      </c>
      <c r="F7" s="145">
        <v>100</v>
      </c>
      <c r="G7" s="38">
        <f t="shared" si="0"/>
        <v>1</v>
      </c>
      <c r="H7" s="32"/>
      <c r="I7" s="9"/>
      <c r="J7" s="9"/>
      <c r="K7" s="9"/>
      <c r="L7" s="9"/>
      <c r="M7" s="9"/>
      <c r="N7" s="9"/>
      <c r="O7" s="9"/>
      <c r="P7" s="9"/>
      <c r="Q7" s="9"/>
      <c r="R7" s="9"/>
      <c r="S7" s="9"/>
      <c r="T7" s="9"/>
      <c r="U7" s="9"/>
      <c r="V7" s="9"/>
      <c r="W7" s="9"/>
      <c r="X7" s="9"/>
      <c r="Y7" s="9"/>
      <c r="Z7" s="9"/>
      <c r="AA7" s="9"/>
    </row>
    <row r="8" spans="1:27" ht="112.5" customHeight="1" x14ac:dyDescent="0.2">
      <c r="A8" s="239"/>
      <c r="B8" s="240"/>
      <c r="C8" s="29" t="s">
        <v>108</v>
      </c>
      <c r="D8" s="31" t="s">
        <v>120</v>
      </c>
      <c r="E8" s="31">
        <v>100</v>
      </c>
      <c r="F8" s="145">
        <v>100</v>
      </c>
      <c r="G8" s="38">
        <f t="shared" si="0"/>
        <v>1</v>
      </c>
      <c r="H8" s="32"/>
      <c r="I8" s="9"/>
      <c r="J8" s="9"/>
      <c r="K8" s="9"/>
      <c r="L8" s="9"/>
      <c r="M8" s="9"/>
      <c r="N8" s="9"/>
      <c r="O8" s="9"/>
      <c r="P8" s="9"/>
      <c r="Q8" s="9"/>
      <c r="R8" s="9"/>
      <c r="S8" s="9"/>
      <c r="T8" s="9"/>
      <c r="U8" s="9"/>
      <c r="V8" s="9"/>
      <c r="W8" s="9"/>
      <c r="X8" s="9"/>
      <c r="Y8" s="9"/>
      <c r="Z8" s="9"/>
      <c r="AA8" s="9"/>
    </row>
    <row r="9" spans="1:27" ht="246" customHeight="1" x14ac:dyDescent="0.2">
      <c r="A9" s="241"/>
      <c r="B9" s="242"/>
      <c r="C9" s="29" t="s">
        <v>109</v>
      </c>
      <c r="D9" s="30" t="s">
        <v>120</v>
      </c>
      <c r="E9" s="34">
        <v>78</v>
      </c>
      <c r="F9" s="145">
        <v>80.599999999999994</v>
      </c>
      <c r="G9" s="38">
        <f t="shared" si="0"/>
        <v>1.0333333333333332</v>
      </c>
      <c r="H9" s="35" t="s">
        <v>125</v>
      </c>
      <c r="I9" s="9"/>
      <c r="J9" s="9"/>
      <c r="K9" s="9"/>
      <c r="L9" s="9"/>
      <c r="M9" s="9"/>
      <c r="N9" s="9"/>
      <c r="O9" s="9"/>
      <c r="P9" s="9"/>
      <c r="Q9" s="9"/>
      <c r="R9" s="9"/>
      <c r="S9" s="9"/>
      <c r="T9" s="9"/>
      <c r="U9" s="9"/>
      <c r="V9" s="9"/>
      <c r="W9" s="9"/>
      <c r="X9" s="9"/>
      <c r="Y9" s="9"/>
      <c r="Z9" s="9"/>
      <c r="AA9" s="9"/>
    </row>
    <row r="10" spans="1:27" ht="45.75" customHeight="1" x14ac:dyDescent="0.2">
      <c r="A10" s="248" t="s">
        <v>221</v>
      </c>
      <c r="B10" s="249"/>
      <c r="C10" s="29" t="s">
        <v>110</v>
      </c>
      <c r="D10" s="30" t="s">
        <v>120</v>
      </c>
      <c r="E10" s="145">
        <v>98</v>
      </c>
      <c r="F10" s="145">
        <v>98</v>
      </c>
      <c r="G10" s="38">
        <f t="shared" si="0"/>
        <v>1</v>
      </c>
      <c r="H10" s="35"/>
      <c r="I10" s="9"/>
      <c r="J10" s="9"/>
      <c r="K10" s="9"/>
      <c r="L10" s="9"/>
      <c r="M10" s="9"/>
      <c r="N10" s="9"/>
      <c r="O10" s="9"/>
      <c r="P10" s="9"/>
      <c r="Q10" s="9"/>
      <c r="R10" s="9"/>
      <c r="S10" s="9"/>
      <c r="T10" s="9"/>
      <c r="U10" s="9"/>
      <c r="V10" s="9"/>
      <c r="W10" s="9"/>
      <c r="X10" s="9"/>
      <c r="Y10" s="9"/>
      <c r="Z10" s="9"/>
      <c r="AA10" s="9"/>
    </row>
    <row r="11" spans="1:27" ht="124.5" customHeight="1" x14ac:dyDescent="0.2">
      <c r="A11" s="250"/>
      <c r="B11" s="251"/>
      <c r="C11" s="29" t="s">
        <v>111</v>
      </c>
      <c r="D11" s="30" t="s">
        <v>120</v>
      </c>
      <c r="E11" s="145">
        <v>100</v>
      </c>
      <c r="F11" s="145">
        <v>100</v>
      </c>
      <c r="G11" s="38">
        <f t="shared" si="0"/>
        <v>1</v>
      </c>
      <c r="H11" s="35"/>
      <c r="I11" s="9"/>
      <c r="J11" s="9"/>
      <c r="K11" s="9"/>
      <c r="L11" s="9"/>
      <c r="M11" s="9"/>
      <c r="N11" s="9"/>
      <c r="O11" s="9"/>
      <c r="P11" s="9"/>
      <c r="Q11" s="9"/>
      <c r="R11" s="9"/>
      <c r="S11" s="9"/>
      <c r="T11" s="9"/>
      <c r="U11" s="9"/>
      <c r="V11" s="9"/>
      <c r="W11" s="9"/>
      <c r="X11" s="9"/>
      <c r="Y11" s="9"/>
      <c r="Z11" s="9"/>
      <c r="AA11" s="9"/>
    </row>
    <row r="12" spans="1:27" ht="86.25" customHeight="1" x14ac:dyDescent="0.2">
      <c r="A12" s="250"/>
      <c r="B12" s="251"/>
      <c r="C12" s="29" t="s">
        <v>112</v>
      </c>
      <c r="D12" s="31" t="s">
        <v>120</v>
      </c>
      <c r="E12" s="145">
        <v>50</v>
      </c>
      <c r="F12" s="145">
        <v>0</v>
      </c>
      <c r="G12" s="38">
        <f t="shared" si="0"/>
        <v>0</v>
      </c>
      <c r="H12" s="35" t="s">
        <v>367</v>
      </c>
      <c r="I12" s="9"/>
      <c r="J12" s="9"/>
      <c r="K12" s="9"/>
      <c r="L12" s="9"/>
      <c r="M12" s="9"/>
      <c r="N12" s="9"/>
      <c r="O12" s="9"/>
      <c r="P12" s="9"/>
      <c r="Q12" s="9"/>
      <c r="R12" s="9"/>
      <c r="S12" s="9"/>
      <c r="T12" s="9"/>
      <c r="U12" s="9"/>
      <c r="V12" s="9"/>
      <c r="W12" s="9"/>
      <c r="X12" s="9"/>
      <c r="Y12" s="9"/>
      <c r="Z12" s="9"/>
      <c r="AA12" s="9"/>
    </row>
    <row r="13" spans="1:27" ht="120" customHeight="1" x14ac:dyDescent="0.2">
      <c r="A13" s="250"/>
      <c r="B13" s="251"/>
      <c r="C13" s="35" t="s">
        <v>113</v>
      </c>
      <c r="D13" s="145" t="s">
        <v>120</v>
      </c>
      <c r="E13" s="145">
        <v>22.22</v>
      </c>
      <c r="F13" s="145">
        <v>0</v>
      </c>
      <c r="G13" s="38">
        <f t="shared" si="0"/>
        <v>0</v>
      </c>
      <c r="H13" s="35" t="s">
        <v>368</v>
      </c>
      <c r="I13" s="9"/>
      <c r="J13" s="9"/>
      <c r="K13" s="9"/>
      <c r="L13" s="9"/>
      <c r="M13" s="9"/>
      <c r="N13" s="9"/>
      <c r="O13" s="9"/>
      <c r="P13" s="9"/>
      <c r="Q13" s="9"/>
      <c r="R13" s="9"/>
      <c r="S13" s="9"/>
      <c r="T13" s="9"/>
      <c r="U13" s="9"/>
      <c r="V13" s="9"/>
      <c r="W13" s="9"/>
      <c r="X13" s="9"/>
      <c r="Y13" s="9"/>
      <c r="Z13" s="9"/>
      <c r="AA13" s="9"/>
    </row>
    <row r="14" spans="1:27" ht="82.5" customHeight="1" x14ac:dyDescent="0.2">
      <c r="A14" s="250"/>
      <c r="B14" s="251"/>
      <c r="C14" s="35" t="s">
        <v>114</v>
      </c>
      <c r="D14" s="145" t="s">
        <v>120</v>
      </c>
      <c r="E14" s="145">
        <v>88.89</v>
      </c>
      <c r="F14" s="145">
        <v>88.89</v>
      </c>
      <c r="G14" s="38">
        <f t="shared" si="0"/>
        <v>1</v>
      </c>
      <c r="H14" s="74" t="s">
        <v>123</v>
      </c>
      <c r="I14" s="9"/>
      <c r="J14" s="9"/>
      <c r="K14" s="9"/>
      <c r="L14" s="9"/>
      <c r="M14" s="9"/>
      <c r="N14" s="9"/>
      <c r="O14" s="9"/>
      <c r="P14" s="9"/>
      <c r="Q14" s="9"/>
      <c r="R14" s="9"/>
      <c r="S14" s="9"/>
      <c r="T14" s="9"/>
      <c r="U14" s="9"/>
      <c r="V14" s="9"/>
      <c r="W14" s="9"/>
      <c r="X14" s="9"/>
      <c r="Y14" s="9"/>
      <c r="Z14" s="9"/>
      <c r="AA14" s="9"/>
    </row>
    <row r="15" spans="1:27" ht="122.25" customHeight="1" x14ac:dyDescent="0.2">
      <c r="A15" s="250"/>
      <c r="B15" s="251"/>
      <c r="C15" s="35" t="s">
        <v>115</v>
      </c>
      <c r="D15" s="145" t="s">
        <v>120</v>
      </c>
      <c r="E15" s="145">
        <v>100</v>
      </c>
      <c r="F15" s="145">
        <v>100</v>
      </c>
      <c r="G15" s="38">
        <f t="shared" si="0"/>
        <v>1</v>
      </c>
      <c r="H15" s="74" t="s">
        <v>124</v>
      </c>
      <c r="I15" s="9"/>
      <c r="J15" s="9"/>
      <c r="K15" s="9"/>
      <c r="L15" s="9"/>
      <c r="M15" s="9"/>
      <c r="N15" s="9"/>
      <c r="O15" s="9"/>
      <c r="P15" s="9"/>
      <c r="Q15" s="9"/>
      <c r="R15" s="9"/>
      <c r="S15" s="9"/>
      <c r="T15" s="9"/>
      <c r="U15" s="9"/>
      <c r="V15" s="9"/>
      <c r="W15" s="9"/>
      <c r="X15" s="9"/>
      <c r="Y15" s="9"/>
      <c r="Z15" s="9"/>
      <c r="AA15" s="9"/>
    </row>
    <row r="16" spans="1:27" ht="87" customHeight="1" x14ac:dyDescent="0.2">
      <c r="A16" s="250"/>
      <c r="B16" s="251"/>
      <c r="C16" s="35" t="s">
        <v>116</v>
      </c>
      <c r="D16" s="145" t="s">
        <v>120</v>
      </c>
      <c r="E16" s="145">
        <v>7</v>
      </c>
      <c r="F16" s="145">
        <v>6.9</v>
      </c>
      <c r="G16" s="38">
        <f t="shared" si="0"/>
        <v>0.98571428571428577</v>
      </c>
      <c r="H16" s="36" t="s">
        <v>369</v>
      </c>
      <c r="I16" s="9"/>
      <c r="J16" s="9"/>
      <c r="K16" s="9"/>
      <c r="L16" s="9"/>
      <c r="M16" s="9"/>
      <c r="N16" s="9"/>
      <c r="O16" s="9"/>
      <c r="P16" s="9"/>
      <c r="Q16" s="9"/>
      <c r="R16" s="9"/>
      <c r="S16" s="9"/>
      <c r="T16" s="9"/>
      <c r="U16" s="9"/>
      <c r="V16" s="9"/>
      <c r="W16" s="9"/>
      <c r="X16" s="9"/>
      <c r="Y16" s="9"/>
      <c r="Z16" s="9"/>
      <c r="AA16" s="9"/>
    </row>
    <row r="17" spans="1:27" ht="73.5" customHeight="1" x14ac:dyDescent="0.2">
      <c r="A17" s="250"/>
      <c r="B17" s="251"/>
      <c r="C17" s="35" t="s">
        <v>117</v>
      </c>
      <c r="D17" s="145" t="s">
        <v>120</v>
      </c>
      <c r="E17" s="145">
        <v>96.7</v>
      </c>
      <c r="F17" s="145">
        <v>93</v>
      </c>
      <c r="G17" s="38">
        <f t="shared" si="0"/>
        <v>0.9617373319544984</v>
      </c>
      <c r="H17" s="36" t="s">
        <v>370</v>
      </c>
      <c r="I17" s="9"/>
      <c r="J17" s="9"/>
      <c r="K17" s="9"/>
      <c r="L17" s="9"/>
      <c r="M17" s="9"/>
      <c r="N17" s="9"/>
      <c r="O17" s="9"/>
      <c r="P17" s="9"/>
      <c r="Q17" s="9"/>
      <c r="R17" s="9"/>
      <c r="S17" s="9"/>
      <c r="T17" s="9"/>
      <c r="U17" s="9"/>
      <c r="V17" s="9"/>
      <c r="W17" s="9"/>
      <c r="X17" s="9"/>
      <c r="Y17" s="9"/>
      <c r="Z17" s="9"/>
      <c r="AA17" s="9"/>
    </row>
    <row r="18" spans="1:27" ht="87" customHeight="1" x14ac:dyDescent="0.2">
      <c r="A18" s="250"/>
      <c r="B18" s="251"/>
      <c r="C18" s="35" t="s">
        <v>118</v>
      </c>
      <c r="D18" s="145" t="s">
        <v>120</v>
      </c>
      <c r="E18" s="145">
        <v>82</v>
      </c>
      <c r="F18" s="145">
        <v>82</v>
      </c>
      <c r="G18" s="38">
        <f t="shared" si="0"/>
        <v>1</v>
      </c>
      <c r="H18" s="32"/>
      <c r="I18" s="9"/>
      <c r="J18" s="9"/>
      <c r="K18" s="9"/>
      <c r="L18" s="9"/>
      <c r="M18" s="9"/>
      <c r="N18" s="9"/>
      <c r="O18" s="9"/>
      <c r="P18" s="9"/>
      <c r="Q18" s="9"/>
      <c r="R18" s="9"/>
      <c r="S18" s="9"/>
      <c r="T18" s="9"/>
      <c r="U18" s="9"/>
      <c r="V18" s="9"/>
      <c r="W18" s="9"/>
      <c r="X18" s="9"/>
      <c r="Y18" s="9"/>
      <c r="Z18" s="9"/>
      <c r="AA18" s="9"/>
    </row>
    <row r="19" spans="1:27" ht="44.25" customHeight="1" x14ac:dyDescent="0.2">
      <c r="A19" s="252"/>
      <c r="B19" s="253"/>
      <c r="C19" s="35" t="s">
        <v>119</v>
      </c>
      <c r="D19" s="145" t="s">
        <v>120</v>
      </c>
      <c r="E19" s="145">
        <v>93</v>
      </c>
      <c r="F19" s="145">
        <v>92</v>
      </c>
      <c r="G19" s="38">
        <f t="shared" si="0"/>
        <v>0.989247311827957</v>
      </c>
      <c r="H19" s="36" t="s">
        <v>371</v>
      </c>
      <c r="I19" s="9"/>
      <c r="J19" s="9"/>
      <c r="K19" s="9"/>
      <c r="L19" s="9"/>
      <c r="M19" s="9"/>
      <c r="N19" s="9"/>
      <c r="O19" s="9"/>
      <c r="P19" s="9"/>
      <c r="Q19" s="9"/>
      <c r="R19" s="9"/>
      <c r="S19" s="9"/>
      <c r="T19" s="9"/>
      <c r="U19" s="9"/>
      <c r="V19" s="9"/>
      <c r="W19" s="9"/>
      <c r="X19" s="9"/>
      <c r="Y19" s="9"/>
      <c r="Z19" s="9"/>
      <c r="AA19" s="9"/>
    </row>
    <row r="20" spans="1:27" ht="84.75" customHeight="1" x14ac:dyDescent="0.2">
      <c r="A20" s="248" t="s">
        <v>222</v>
      </c>
      <c r="B20" s="249"/>
      <c r="C20" s="29" t="s">
        <v>103</v>
      </c>
      <c r="D20" s="31" t="s">
        <v>121</v>
      </c>
      <c r="E20" s="31">
        <v>3</v>
      </c>
      <c r="F20" s="145">
        <v>3</v>
      </c>
      <c r="G20" s="38">
        <f t="shared" si="0"/>
        <v>1</v>
      </c>
      <c r="H20" s="32"/>
      <c r="I20" s="9"/>
      <c r="J20" s="9"/>
      <c r="K20" s="9"/>
      <c r="L20" s="9"/>
      <c r="M20" s="9"/>
      <c r="N20" s="9"/>
      <c r="O20" s="9"/>
      <c r="P20" s="9"/>
      <c r="Q20" s="9"/>
      <c r="R20" s="9"/>
      <c r="S20" s="9"/>
      <c r="T20" s="9"/>
      <c r="U20" s="9"/>
      <c r="V20" s="9"/>
      <c r="W20" s="9"/>
      <c r="X20" s="9"/>
      <c r="Y20" s="9"/>
      <c r="Z20" s="9"/>
      <c r="AA20" s="9"/>
    </row>
    <row r="21" spans="1:27" ht="80.25" customHeight="1" x14ac:dyDescent="0.2">
      <c r="A21" s="250"/>
      <c r="B21" s="251"/>
      <c r="C21" s="29" t="s">
        <v>104</v>
      </c>
      <c r="D21" s="31" t="s">
        <v>121</v>
      </c>
      <c r="E21" s="143">
        <v>38</v>
      </c>
      <c r="F21" s="145">
        <v>38</v>
      </c>
      <c r="G21" s="38">
        <f t="shared" si="0"/>
        <v>1</v>
      </c>
      <c r="H21" s="32"/>
      <c r="I21" s="9"/>
      <c r="J21" s="9"/>
      <c r="K21" s="9"/>
      <c r="L21" s="9"/>
      <c r="M21" s="9"/>
      <c r="N21" s="9"/>
      <c r="O21" s="9"/>
      <c r="P21" s="9"/>
      <c r="Q21" s="9"/>
      <c r="R21" s="9"/>
      <c r="S21" s="9"/>
      <c r="T21" s="9"/>
      <c r="U21" s="9"/>
      <c r="V21" s="9"/>
      <c r="W21" s="9"/>
      <c r="X21" s="9"/>
      <c r="Y21" s="9"/>
      <c r="Z21" s="9"/>
      <c r="AA21" s="9"/>
    </row>
    <row r="22" spans="1:27" ht="155.25" customHeight="1" x14ac:dyDescent="0.2">
      <c r="A22" s="252"/>
      <c r="B22" s="253"/>
      <c r="C22" s="29" t="s">
        <v>105</v>
      </c>
      <c r="D22" s="31" t="s">
        <v>120</v>
      </c>
      <c r="E22" s="31">
        <v>7.9</v>
      </c>
      <c r="F22" s="145">
        <v>7.8</v>
      </c>
      <c r="G22" s="38">
        <f t="shared" si="0"/>
        <v>0.98734177215189867</v>
      </c>
      <c r="H22" s="145"/>
      <c r="I22" s="9"/>
      <c r="J22" s="9"/>
      <c r="K22" s="9"/>
      <c r="L22" s="9"/>
      <c r="M22" s="9"/>
      <c r="N22" s="9"/>
      <c r="O22" s="9"/>
      <c r="P22" s="9"/>
      <c r="Q22" s="9"/>
      <c r="R22" s="9"/>
      <c r="S22" s="9"/>
      <c r="T22" s="9"/>
      <c r="U22" s="9"/>
      <c r="V22" s="9"/>
      <c r="W22" s="9"/>
      <c r="X22" s="9"/>
      <c r="Y22" s="9"/>
      <c r="Z22" s="9"/>
      <c r="AA22" s="9"/>
    </row>
    <row r="23" spans="1:27" ht="88.5" customHeight="1" x14ac:dyDescent="0.2">
      <c r="A23" s="248" t="s">
        <v>223</v>
      </c>
      <c r="B23" s="249"/>
      <c r="C23" s="29" t="s">
        <v>99</v>
      </c>
      <c r="D23" s="145" t="s">
        <v>122</v>
      </c>
      <c r="E23" s="145">
        <v>5</v>
      </c>
      <c r="F23" s="145">
        <v>5</v>
      </c>
      <c r="G23" s="38">
        <f t="shared" si="0"/>
        <v>1</v>
      </c>
      <c r="H23" s="32"/>
      <c r="I23" s="9"/>
      <c r="J23" s="9"/>
      <c r="K23" s="9"/>
      <c r="L23" s="9"/>
      <c r="M23" s="9"/>
      <c r="N23" s="9"/>
      <c r="O23" s="9"/>
      <c r="P23" s="9"/>
      <c r="Q23" s="9"/>
      <c r="R23" s="9"/>
      <c r="S23" s="9"/>
      <c r="T23" s="9"/>
      <c r="U23" s="9"/>
      <c r="V23" s="9"/>
      <c r="W23" s="9"/>
      <c r="X23" s="9"/>
      <c r="Y23" s="9"/>
      <c r="Z23" s="9"/>
      <c r="AA23" s="9"/>
    </row>
    <row r="24" spans="1:27" ht="50.25" customHeight="1" x14ac:dyDescent="0.2">
      <c r="A24" s="250"/>
      <c r="B24" s="251"/>
      <c r="C24" s="29" t="s">
        <v>100</v>
      </c>
      <c r="D24" s="145" t="s">
        <v>122</v>
      </c>
      <c r="E24" s="145">
        <v>5</v>
      </c>
      <c r="F24" s="145">
        <v>5</v>
      </c>
      <c r="G24" s="38">
        <f t="shared" si="0"/>
        <v>1</v>
      </c>
      <c r="H24" s="32"/>
      <c r="I24" s="9"/>
      <c r="J24" s="9"/>
      <c r="K24" s="9"/>
      <c r="L24" s="9"/>
      <c r="M24" s="9"/>
      <c r="N24" s="9"/>
      <c r="O24" s="9"/>
      <c r="P24" s="9"/>
      <c r="Q24" s="9"/>
      <c r="R24" s="9"/>
      <c r="S24" s="9"/>
      <c r="T24" s="9"/>
      <c r="U24" s="9"/>
      <c r="V24" s="9"/>
      <c r="W24" s="9"/>
      <c r="X24" s="9"/>
      <c r="Y24" s="9"/>
      <c r="Z24" s="9"/>
      <c r="AA24" s="9"/>
    </row>
    <row r="25" spans="1:27" ht="57.75" customHeight="1" x14ac:dyDescent="0.2">
      <c r="A25" s="250"/>
      <c r="B25" s="251"/>
      <c r="C25" s="29" t="s">
        <v>101</v>
      </c>
      <c r="D25" s="145" t="s">
        <v>122</v>
      </c>
      <c r="E25" s="145">
        <v>5</v>
      </c>
      <c r="F25" s="145">
        <v>5</v>
      </c>
      <c r="G25" s="38">
        <f t="shared" si="0"/>
        <v>1</v>
      </c>
      <c r="H25" s="32"/>
      <c r="I25" s="9"/>
      <c r="J25" s="9"/>
      <c r="K25" s="9"/>
      <c r="L25" s="9"/>
      <c r="M25" s="9"/>
      <c r="N25" s="9"/>
      <c r="O25" s="9"/>
      <c r="P25" s="9"/>
      <c r="Q25" s="9"/>
      <c r="R25" s="9"/>
      <c r="S25" s="9"/>
      <c r="T25" s="9"/>
      <c r="U25" s="9"/>
      <c r="V25" s="9"/>
      <c r="W25" s="9"/>
      <c r="X25" s="9"/>
      <c r="Y25" s="9"/>
      <c r="Z25" s="9"/>
      <c r="AA25" s="9"/>
    </row>
    <row r="26" spans="1:27" ht="96.75" customHeight="1" x14ac:dyDescent="0.25">
      <c r="A26" s="252"/>
      <c r="B26" s="253"/>
      <c r="C26" s="33" t="s">
        <v>102</v>
      </c>
      <c r="D26" s="145" t="s">
        <v>122</v>
      </c>
      <c r="E26" s="145">
        <v>5</v>
      </c>
      <c r="F26" s="145">
        <v>5</v>
      </c>
      <c r="G26" s="38">
        <f t="shared" si="0"/>
        <v>1</v>
      </c>
      <c r="H26" s="75"/>
      <c r="I26" s="9"/>
      <c r="J26" s="9"/>
      <c r="K26" s="9"/>
      <c r="L26" s="9"/>
      <c r="M26" s="9"/>
      <c r="N26" s="9"/>
      <c r="O26" s="9"/>
      <c r="P26" s="9"/>
      <c r="Q26" s="9"/>
      <c r="R26" s="9"/>
      <c r="S26" s="9"/>
      <c r="T26" s="9"/>
      <c r="U26" s="9"/>
      <c r="V26" s="9"/>
      <c r="W26" s="9"/>
      <c r="X26" s="9"/>
      <c r="Y26" s="9"/>
      <c r="Z26" s="9"/>
      <c r="AA26" s="9"/>
    </row>
    <row r="27" spans="1:27" ht="31.5" customHeight="1" x14ac:dyDescent="0.2">
      <c r="A27" s="37">
        <v>2</v>
      </c>
      <c r="B27" s="243" t="s">
        <v>84</v>
      </c>
      <c r="C27" s="243"/>
      <c r="D27" s="243"/>
      <c r="E27" s="243"/>
      <c r="F27" s="243"/>
      <c r="G27" s="243"/>
      <c r="H27" s="243"/>
      <c r="I27" s="9"/>
      <c r="J27" s="9"/>
      <c r="K27" s="9"/>
      <c r="L27" s="9"/>
      <c r="M27" s="9"/>
      <c r="N27" s="9"/>
      <c r="O27" s="9"/>
      <c r="P27" s="9"/>
      <c r="Q27" s="9"/>
      <c r="R27" s="9"/>
      <c r="S27" s="9"/>
      <c r="T27" s="9"/>
      <c r="U27" s="9"/>
      <c r="V27" s="9"/>
      <c r="W27" s="9"/>
      <c r="X27" s="9"/>
      <c r="Y27" s="9"/>
      <c r="Z27" s="9"/>
      <c r="AA27" s="9"/>
    </row>
    <row r="28" spans="1:27" ht="60.75" customHeight="1" x14ac:dyDescent="0.25">
      <c r="A28" s="248" t="s">
        <v>224</v>
      </c>
      <c r="B28" s="249"/>
      <c r="C28" s="173" t="s">
        <v>374</v>
      </c>
      <c r="D28" s="145" t="s">
        <v>120</v>
      </c>
      <c r="E28" s="145">
        <v>99.66</v>
      </c>
      <c r="F28" s="145">
        <v>99.66</v>
      </c>
      <c r="G28" s="38">
        <f t="shared" ref="G28:G29" si="1">F28/E28</f>
        <v>1</v>
      </c>
      <c r="H28" s="145"/>
    </row>
    <row r="29" spans="1:27" ht="45.75" customHeight="1" x14ac:dyDescent="0.2">
      <c r="A29" s="250"/>
      <c r="B29" s="251"/>
      <c r="C29" s="174" t="s">
        <v>145</v>
      </c>
      <c r="D29" s="145" t="s">
        <v>120</v>
      </c>
      <c r="E29" s="145">
        <v>0.54</v>
      </c>
      <c r="F29" s="145">
        <v>0.54</v>
      </c>
      <c r="G29" s="38">
        <f t="shared" si="1"/>
        <v>1</v>
      </c>
      <c r="H29" s="145"/>
    </row>
    <row r="30" spans="1:27" ht="71.25" customHeight="1" x14ac:dyDescent="0.2">
      <c r="A30" s="252"/>
      <c r="B30" s="253"/>
      <c r="C30" s="35" t="s">
        <v>145</v>
      </c>
      <c r="D30" s="145" t="s">
        <v>120</v>
      </c>
      <c r="E30" s="145">
        <v>0.34</v>
      </c>
      <c r="F30" s="145">
        <v>0.34</v>
      </c>
      <c r="G30" s="38">
        <f t="shared" ref="G30" si="2">F30/E30</f>
        <v>1</v>
      </c>
      <c r="H30" s="145"/>
    </row>
    <row r="31" spans="1:27" ht="56.25" hidden="1" customHeight="1" x14ac:dyDescent="0.2">
      <c r="A31" s="270" t="s">
        <v>225</v>
      </c>
      <c r="B31" s="271"/>
      <c r="C31" s="35"/>
      <c r="D31" s="145"/>
      <c r="E31" s="145"/>
      <c r="F31" s="145"/>
      <c r="G31" s="38" t="e">
        <f t="shared" ref="G31:G33" si="3">F31/E31</f>
        <v>#DIV/0!</v>
      </c>
      <c r="H31" s="145"/>
    </row>
    <row r="32" spans="1:27" ht="57" customHeight="1" x14ac:dyDescent="0.2">
      <c r="A32" s="248" t="s">
        <v>226</v>
      </c>
      <c r="B32" s="249"/>
      <c r="C32" s="174" t="s">
        <v>146</v>
      </c>
      <c r="D32" s="145" t="s">
        <v>120</v>
      </c>
      <c r="E32" s="145">
        <v>63.76</v>
      </c>
      <c r="F32" s="145">
        <v>63.76</v>
      </c>
      <c r="G32" s="38">
        <f t="shared" si="3"/>
        <v>1</v>
      </c>
      <c r="H32" s="145"/>
    </row>
    <row r="33" spans="1:27" ht="57" customHeight="1" x14ac:dyDescent="0.2">
      <c r="A33" s="250"/>
      <c r="B33" s="251"/>
      <c r="C33" s="174" t="s">
        <v>147</v>
      </c>
      <c r="D33" s="145" t="s">
        <v>120</v>
      </c>
      <c r="E33" s="145">
        <v>74.97</v>
      </c>
      <c r="F33" s="145">
        <v>74.97</v>
      </c>
      <c r="G33" s="38">
        <f t="shared" si="3"/>
        <v>1</v>
      </c>
      <c r="H33" s="145"/>
    </row>
    <row r="34" spans="1:27" ht="96" customHeight="1" x14ac:dyDescent="0.25">
      <c r="A34" s="248" t="s">
        <v>227</v>
      </c>
      <c r="B34" s="249"/>
      <c r="C34" s="97" t="s">
        <v>375</v>
      </c>
      <c r="D34" s="145" t="s">
        <v>120</v>
      </c>
      <c r="E34" s="145">
        <v>62.66</v>
      </c>
      <c r="F34" s="145">
        <v>62.66</v>
      </c>
      <c r="G34" s="38">
        <f>F34/E34</f>
        <v>1</v>
      </c>
      <c r="H34" s="145"/>
    </row>
    <row r="35" spans="1:27" ht="109.5" customHeight="1" x14ac:dyDescent="0.2">
      <c r="A35" s="250"/>
      <c r="B35" s="251"/>
      <c r="C35" s="174" t="s">
        <v>150</v>
      </c>
      <c r="D35" s="145" t="s">
        <v>120</v>
      </c>
      <c r="E35" s="145">
        <v>0</v>
      </c>
      <c r="F35" s="145">
        <v>0</v>
      </c>
      <c r="G35" s="38">
        <v>0</v>
      </c>
      <c r="H35" s="145"/>
    </row>
    <row r="36" spans="1:27" ht="45.75" customHeight="1" x14ac:dyDescent="0.2">
      <c r="A36" s="250"/>
      <c r="B36" s="251"/>
      <c r="C36" s="174" t="s">
        <v>152</v>
      </c>
      <c r="D36" s="145" t="s">
        <v>120</v>
      </c>
      <c r="E36" s="145">
        <v>0.1</v>
      </c>
      <c r="F36" s="145">
        <v>0.1</v>
      </c>
      <c r="G36" s="38">
        <f t="shared" ref="G36:G38" si="4">F36/E36</f>
        <v>1</v>
      </c>
      <c r="H36" s="145"/>
    </row>
    <row r="37" spans="1:27" ht="73.5" customHeight="1" x14ac:dyDescent="0.25">
      <c r="A37" s="250"/>
      <c r="B37" s="251"/>
      <c r="C37" s="97" t="s">
        <v>148</v>
      </c>
      <c r="D37" s="145" t="s">
        <v>120</v>
      </c>
      <c r="E37" s="145">
        <v>98.76</v>
      </c>
      <c r="F37" s="145">
        <v>98.76</v>
      </c>
      <c r="G37" s="38">
        <f t="shared" si="4"/>
        <v>1</v>
      </c>
      <c r="H37" s="145"/>
    </row>
    <row r="38" spans="1:27" ht="64.5" customHeight="1" x14ac:dyDescent="0.2">
      <c r="A38" s="250"/>
      <c r="B38" s="251"/>
      <c r="C38" s="174" t="s">
        <v>151</v>
      </c>
      <c r="D38" s="145" t="s">
        <v>120</v>
      </c>
      <c r="E38" s="145">
        <v>14.7</v>
      </c>
      <c r="F38" s="145">
        <v>14.7</v>
      </c>
      <c r="G38" s="38">
        <f t="shared" si="4"/>
        <v>1</v>
      </c>
      <c r="H38" s="145"/>
    </row>
    <row r="39" spans="1:27" ht="64.5" customHeight="1" x14ac:dyDescent="0.25">
      <c r="A39" s="250"/>
      <c r="B39" s="251"/>
      <c r="C39" s="97" t="s">
        <v>153</v>
      </c>
      <c r="D39" s="140" t="s">
        <v>120</v>
      </c>
      <c r="E39" s="175">
        <v>99</v>
      </c>
      <c r="F39" s="175">
        <v>99</v>
      </c>
      <c r="G39" s="84">
        <f>F39/E39</f>
        <v>1</v>
      </c>
      <c r="H39" s="140"/>
    </row>
    <row r="40" spans="1:27" ht="64.5" customHeight="1" x14ac:dyDescent="0.2">
      <c r="A40" s="250"/>
      <c r="B40" s="251"/>
      <c r="C40" s="174" t="s">
        <v>154</v>
      </c>
      <c r="D40" s="145" t="s">
        <v>120</v>
      </c>
      <c r="E40" s="145">
        <v>100</v>
      </c>
      <c r="F40" s="145">
        <v>100</v>
      </c>
      <c r="G40" s="38">
        <f t="shared" ref="G40:G44" si="5">F40/E40</f>
        <v>1</v>
      </c>
      <c r="H40" s="145"/>
    </row>
    <row r="41" spans="1:27" ht="70.5" customHeight="1" x14ac:dyDescent="0.25">
      <c r="A41" s="252"/>
      <c r="B41" s="253"/>
      <c r="C41" s="97" t="s">
        <v>149</v>
      </c>
      <c r="D41" s="145" t="s">
        <v>376</v>
      </c>
      <c r="E41" s="145">
        <v>29461.42</v>
      </c>
      <c r="F41" s="145">
        <v>29461.42</v>
      </c>
      <c r="G41" s="38">
        <f t="shared" si="5"/>
        <v>1</v>
      </c>
      <c r="H41" s="145"/>
    </row>
    <row r="42" spans="1:27" ht="34.5" customHeight="1" x14ac:dyDescent="0.2">
      <c r="A42" s="248" t="s">
        <v>228</v>
      </c>
      <c r="B42" s="249"/>
      <c r="C42" s="176" t="s">
        <v>155</v>
      </c>
      <c r="D42" s="103" t="s">
        <v>120</v>
      </c>
      <c r="E42" s="103">
        <v>100</v>
      </c>
      <c r="F42" s="103">
        <v>100</v>
      </c>
      <c r="G42" s="88">
        <f t="shared" si="5"/>
        <v>1</v>
      </c>
      <c r="H42" s="145"/>
    </row>
    <row r="43" spans="1:27" ht="56.25" customHeight="1" x14ac:dyDescent="0.2">
      <c r="A43" s="250"/>
      <c r="B43" s="251"/>
      <c r="C43" s="176" t="s">
        <v>377</v>
      </c>
      <c r="D43" s="103" t="s">
        <v>120</v>
      </c>
      <c r="E43" s="177">
        <v>98</v>
      </c>
      <c r="F43" s="177">
        <v>98</v>
      </c>
      <c r="G43" s="88">
        <f t="shared" si="5"/>
        <v>1</v>
      </c>
      <c r="H43" s="145"/>
    </row>
    <row r="44" spans="1:27" ht="62.25" customHeight="1" x14ac:dyDescent="0.2">
      <c r="A44" s="252"/>
      <c r="B44" s="253"/>
      <c r="C44" s="176" t="s">
        <v>156</v>
      </c>
      <c r="D44" s="103" t="s">
        <v>120</v>
      </c>
      <c r="E44" s="103">
        <v>0.1</v>
      </c>
      <c r="F44" s="103">
        <v>0.1</v>
      </c>
      <c r="G44" s="88">
        <f t="shared" si="5"/>
        <v>1</v>
      </c>
      <c r="H44" s="145"/>
    </row>
    <row r="45" spans="1:27" ht="31.5" customHeight="1" x14ac:dyDescent="0.2">
      <c r="A45" s="37">
        <v>3</v>
      </c>
      <c r="B45" s="243" t="s">
        <v>85</v>
      </c>
      <c r="C45" s="243"/>
      <c r="D45" s="243"/>
      <c r="E45" s="243"/>
      <c r="F45" s="243"/>
      <c r="G45" s="243"/>
      <c r="H45" s="243"/>
      <c r="I45" s="9"/>
      <c r="J45" s="9"/>
      <c r="K45" s="9"/>
      <c r="L45" s="9"/>
      <c r="M45" s="9"/>
      <c r="N45" s="9"/>
      <c r="O45" s="9"/>
      <c r="P45" s="9"/>
      <c r="Q45" s="9"/>
      <c r="R45" s="9"/>
      <c r="S45" s="9"/>
      <c r="T45" s="9"/>
      <c r="U45" s="9"/>
      <c r="V45" s="9"/>
      <c r="W45" s="9"/>
      <c r="X45" s="9"/>
      <c r="Y45" s="9"/>
      <c r="Z45" s="9"/>
      <c r="AA45" s="9"/>
    </row>
    <row r="46" spans="1:27" ht="43.5" customHeight="1" x14ac:dyDescent="0.25">
      <c r="A46" s="248" t="s">
        <v>229</v>
      </c>
      <c r="B46" s="249"/>
      <c r="C46" s="35" t="s">
        <v>294</v>
      </c>
      <c r="D46" s="145" t="s">
        <v>120</v>
      </c>
      <c r="E46" s="145">
        <v>59.3</v>
      </c>
      <c r="F46" s="145">
        <v>59.3</v>
      </c>
      <c r="G46" s="38">
        <f>F46/E46</f>
        <v>1</v>
      </c>
      <c r="H46" s="77"/>
    </row>
    <row r="47" spans="1:27" ht="87" customHeight="1" x14ac:dyDescent="0.25">
      <c r="A47" s="250"/>
      <c r="B47" s="251"/>
      <c r="C47" s="35" t="s">
        <v>220</v>
      </c>
      <c r="D47" s="145" t="s">
        <v>120</v>
      </c>
      <c r="E47" s="145">
        <v>100</v>
      </c>
      <c r="F47" s="145">
        <v>99.84</v>
      </c>
      <c r="G47" s="38">
        <f>F47/E47</f>
        <v>0.99840000000000007</v>
      </c>
      <c r="H47" s="93" t="s">
        <v>351</v>
      </c>
    </row>
    <row r="48" spans="1:27" ht="134.25" customHeight="1" x14ac:dyDescent="0.2">
      <c r="A48" s="250"/>
      <c r="B48" s="251"/>
      <c r="C48" s="78" t="s">
        <v>219</v>
      </c>
      <c r="D48" s="145" t="s">
        <v>120</v>
      </c>
      <c r="E48" s="145">
        <v>93</v>
      </c>
      <c r="F48" s="145">
        <v>61.63</v>
      </c>
      <c r="G48" s="38">
        <f>F48/E48</f>
        <v>0.66268817204301078</v>
      </c>
      <c r="H48" s="35" t="s">
        <v>350</v>
      </c>
    </row>
    <row r="49" spans="1:8" ht="82.5" customHeight="1" x14ac:dyDescent="0.2">
      <c r="A49" s="248" t="s">
        <v>230</v>
      </c>
      <c r="B49" s="249"/>
      <c r="C49" s="78" t="s">
        <v>220</v>
      </c>
      <c r="D49" s="145" t="s">
        <v>120</v>
      </c>
      <c r="E49" s="145">
        <v>100</v>
      </c>
      <c r="F49" s="145">
        <v>99.6</v>
      </c>
      <c r="G49" s="38">
        <f t="shared" ref="G49:G52" si="6">F49/E49</f>
        <v>0.996</v>
      </c>
      <c r="H49" s="35"/>
    </row>
    <row r="50" spans="1:8" ht="44.25" customHeight="1" x14ac:dyDescent="0.2">
      <c r="A50" s="250"/>
      <c r="B50" s="251"/>
      <c r="C50" s="35" t="s">
        <v>295</v>
      </c>
      <c r="D50" s="145" t="s">
        <v>120</v>
      </c>
      <c r="E50" s="145">
        <v>100</v>
      </c>
      <c r="F50" s="39">
        <v>100</v>
      </c>
      <c r="G50" s="38">
        <f t="shared" si="6"/>
        <v>1</v>
      </c>
      <c r="H50" s="35"/>
    </row>
    <row r="51" spans="1:8" ht="51.75" customHeight="1" x14ac:dyDescent="0.2">
      <c r="A51" s="250"/>
      <c r="B51" s="251"/>
      <c r="C51" s="35" t="s">
        <v>296</v>
      </c>
      <c r="D51" s="145" t="s">
        <v>120</v>
      </c>
      <c r="E51" s="145">
        <v>100</v>
      </c>
      <c r="F51" s="39">
        <v>100</v>
      </c>
      <c r="G51" s="38">
        <f t="shared" si="6"/>
        <v>1</v>
      </c>
      <c r="H51" s="35"/>
    </row>
    <row r="52" spans="1:8" ht="33.75" customHeight="1" x14ac:dyDescent="0.2">
      <c r="A52" s="250"/>
      <c r="B52" s="251"/>
      <c r="C52" s="35" t="s">
        <v>297</v>
      </c>
      <c r="D52" s="145" t="s">
        <v>120</v>
      </c>
      <c r="E52" s="145">
        <v>100</v>
      </c>
      <c r="F52" s="145">
        <v>100</v>
      </c>
      <c r="G52" s="38">
        <f t="shared" si="6"/>
        <v>1</v>
      </c>
      <c r="H52" s="35"/>
    </row>
    <row r="53" spans="1:8" ht="31.5" customHeight="1" x14ac:dyDescent="0.2">
      <c r="A53" s="37">
        <v>4</v>
      </c>
      <c r="B53" s="243" t="s">
        <v>86</v>
      </c>
      <c r="C53" s="243"/>
      <c r="D53" s="243"/>
      <c r="E53" s="243"/>
      <c r="F53" s="243"/>
      <c r="G53" s="243"/>
      <c r="H53" s="243"/>
    </row>
    <row r="54" spans="1:8" ht="72.75" customHeight="1" x14ac:dyDescent="0.2">
      <c r="A54" s="248" t="s">
        <v>231</v>
      </c>
      <c r="B54" s="249"/>
      <c r="C54" s="79" t="s">
        <v>292</v>
      </c>
      <c r="D54" s="145" t="s">
        <v>293</v>
      </c>
      <c r="E54" s="145">
        <v>12</v>
      </c>
      <c r="F54" s="145">
        <v>12</v>
      </c>
      <c r="G54" s="38">
        <f>F54/E54</f>
        <v>1</v>
      </c>
      <c r="H54" s="35"/>
    </row>
    <row r="55" spans="1:8" ht="31.5" customHeight="1" x14ac:dyDescent="0.2">
      <c r="A55" s="37">
        <v>5</v>
      </c>
      <c r="B55" s="243" t="s">
        <v>87</v>
      </c>
      <c r="C55" s="243"/>
      <c r="D55" s="243"/>
      <c r="E55" s="243"/>
      <c r="F55" s="243"/>
      <c r="G55" s="243"/>
      <c r="H55" s="243"/>
    </row>
    <row r="56" spans="1:8" ht="48" customHeight="1" x14ac:dyDescent="0.2">
      <c r="A56" s="248" t="s">
        <v>232</v>
      </c>
      <c r="B56" s="249"/>
      <c r="C56" s="29" t="s">
        <v>127</v>
      </c>
      <c r="D56" s="28" t="s">
        <v>120</v>
      </c>
      <c r="E56" s="28">
        <v>85</v>
      </c>
      <c r="F56" s="28">
        <v>85</v>
      </c>
      <c r="G56" s="38">
        <f t="shared" ref="G56:G69" si="7">F56/E56</f>
        <v>1</v>
      </c>
      <c r="H56" s="145"/>
    </row>
    <row r="57" spans="1:8" ht="51.75" customHeight="1" x14ac:dyDescent="0.2">
      <c r="A57" s="250"/>
      <c r="B57" s="251"/>
      <c r="C57" s="29" t="s">
        <v>128</v>
      </c>
      <c r="D57" s="28" t="s">
        <v>120</v>
      </c>
      <c r="E57" s="28">
        <v>100</v>
      </c>
      <c r="F57" s="28">
        <v>100</v>
      </c>
      <c r="G57" s="38">
        <f t="shared" si="7"/>
        <v>1</v>
      </c>
      <c r="H57" s="74"/>
    </row>
    <row r="58" spans="1:8" ht="43.5" customHeight="1" x14ac:dyDescent="0.2">
      <c r="A58" s="252"/>
      <c r="B58" s="253"/>
      <c r="C58" s="33" t="s">
        <v>129</v>
      </c>
      <c r="D58" s="28" t="s">
        <v>120</v>
      </c>
      <c r="E58" s="28">
        <v>20</v>
      </c>
      <c r="F58" s="28">
        <v>20</v>
      </c>
      <c r="G58" s="38">
        <f t="shared" si="7"/>
        <v>1</v>
      </c>
      <c r="H58" s="145"/>
    </row>
    <row r="59" spans="1:8" ht="34.5" customHeight="1" x14ac:dyDescent="0.2">
      <c r="A59" s="259" t="s">
        <v>233</v>
      </c>
      <c r="B59" s="260"/>
      <c r="C59" s="29" t="s">
        <v>130</v>
      </c>
      <c r="D59" s="28" t="s">
        <v>120</v>
      </c>
      <c r="E59" s="28">
        <v>2E-3</v>
      </c>
      <c r="F59" s="28">
        <v>2E-3</v>
      </c>
      <c r="G59" s="38">
        <f t="shared" si="7"/>
        <v>1</v>
      </c>
      <c r="H59" s="145"/>
    </row>
    <row r="60" spans="1:8" ht="45" customHeight="1" x14ac:dyDescent="0.2">
      <c r="A60" s="261"/>
      <c r="B60" s="262"/>
      <c r="C60" s="29" t="s">
        <v>131</v>
      </c>
      <c r="D60" s="28" t="s">
        <v>120</v>
      </c>
      <c r="E60" s="28">
        <v>0.01</v>
      </c>
      <c r="F60" s="28">
        <v>0.01</v>
      </c>
      <c r="G60" s="38">
        <f t="shared" si="7"/>
        <v>1</v>
      </c>
      <c r="H60" s="80"/>
    </row>
    <row r="61" spans="1:8" ht="31.5" customHeight="1" x14ac:dyDescent="0.2">
      <c r="A61" s="261"/>
      <c r="B61" s="262"/>
      <c r="C61" s="29" t="s">
        <v>132</v>
      </c>
      <c r="D61" s="28" t="s">
        <v>142</v>
      </c>
      <c r="E61" s="28">
        <v>872</v>
      </c>
      <c r="F61" s="28">
        <v>872</v>
      </c>
      <c r="G61" s="38">
        <f t="shared" si="7"/>
        <v>1</v>
      </c>
      <c r="H61" s="145"/>
    </row>
    <row r="62" spans="1:8" ht="31.5" customHeight="1" x14ac:dyDescent="0.2">
      <c r="A62" s="263"/>
      <c r="B62" s="264"/>
      <c r="C62" s="29" t="s">
        <v>133</v>
      </c>
      <c r="D62" s="28" t="s">
        <v>120</v>
      </c>
      <c r="E62" s="28">
        <v>0.1</v>
      </c>
      <c r="F62" s="28">
        <v>0.1</v>
      </c>
      <c r="G62" s="38">
        <f t="shared" si="7"/>
        <v>1</v>
      </c>
      <c r="H62" s="145"/>
    </row>
    <row r="63" spans="1:8" ht="33.75" customHeight="1" x14ac:dyDescent="0.2">
      <c r="A63" s="259" t="s">
        <v>234</v>
      </c>
      <c r="B63" s="260"/>
      <c r="C63" s="33" t="s">
        <v>134</v>
      </c>
      <c r="D63" s="28" t="s">
        <v>143</v>
      </c>
      <c r="E63" s="28">
        <v>1.829</v>
      </c>
      <c r="F63" s="28">
        <v>1.829</v>
      </c>
      <c r="G63" s="38">
        <f t="shared" si="7"/>
        <v>1</v>
      </c>
      <c r="H63" s="145"/>
    </row>
    <row r="64" spans="1:8" ht="42.75" customHeight="1" x14ac:dyDescent="0.2">
      <c r="A64" s="261"/>
      <c r="B64" s="262"/>
      <c r="C64" s="33" t="s">
        <v>135</v>
      </c>
      <c r="D64" s="28" t="s">
        <v>120</v>
      </c>
      <c r="E64" s="28">
        <v>24.1</v>
      </c>
      <c r="F64" s="28">
        <v>24.1</v>
      </c>
      <c r="G64" s="38">
        <f t="shared" si="7"/>
        <v>1</v>
      </c>
      <c r="H64" s="145"/>
    </row>
    <row r="65" spans="1:8" ht="31.5" customHeight="1" x14ac:dyDescent="0.2">
      <c r="A65" s="263"/>
      <c r="B65" s="264"/>
      <c r="C65" s="33" t="s">
        <v>136</v>
      </c>
      <c r="D65" s="28" t="s">
        <v>144</v>
      </c>
      <c r="E65" s="28">
        <v>0.27</v>
      </c>
      <c r="F65" s="28">
        <v>0.27</v>
      </c>
      <c r="G65" s="38">
        <f t="shared" si="7"/>
        <v>1</v>
      </c>
      <c r="H65" s="81"/>
    </row>
    <row r="66" spans="1:8" ht="31.5" customHeight="1" x14ac:dyDescent="0.2">
      <c r="A66" s="259" t="s">
        <v>235</v>
      </c>
      <c r="B66" s="260"/>
      <c r="C66" s="29" t="s">
        <v>139</v>
      </c>
      <c r="D66" s="28" t="s">
        <v>143</v>
      </c>
      <c r="E66" s="28">
        <v>2.2000000000000002</v>
      </c>
      <c r="F66" s="28">
        <v>2.2000000000000002</v>
      </c>
      <c r="G66" s="38">
        <f t="shared" si="7"/>
        <v>1</v>
      </c>
      <c r="H66" s="35"/>
    </row>
    <row r="67" spans="1:8" ht="36.75" customHeight="1" x14ac:dyDescent="0.2">
      <c r="A67" s="261"/>
      <c r="B67" s="262"/>
      <c r="C67" s="29" t="s">
        <v>140</v>
      </c>
      <c r="D67" s="28" t="s">
        <v>143</v>
      </c>
      <c r="E67" s="28">
        <v>2.2999999999999998</v>
      </c>
      <c r="F67" s="28">
        <v>2.2999999999999998</v>
      </c>
      <c r="G67" s="38">
        <f t="shared" si="7"/>
        <v>1</v>
      </c>
      <c r="H67" s="81"/>
    </row>
    <row r="68" spans="1:8" ht="36" customHeight="1" x14ac:dyDescent="0.2">
      <c r="A68" s="263"/>
      <c r="B68" s="264"/>
      <c r="C68" s="29" t="s">
        <v>141</v>
      </c>
      <c r="D68" s="28" t="s">
        <v>120</v>
      </c>
      <c r="E68" s="28">
        <v>0.77</v>
      </c>
      <c r="F68" s="28">
        <v>0.77</v>
      </c>
      <c r="G68" s="38">
        <f t="shared" si="7"/>
        <v>1</v>
      </c>
      <c r="H68" s="81"/>
    </row>
    <row r="69" spans="1:8" ht="46.5" customHeight="1" x14ac:dyDescent="0.2">
      <c r="A69" s="259" t="s">
        <v>236</v>
      </c>
      <c r="B69" s="260"/>
      <c r="C69" s="33" t="s">
        <v>137</v>
      </c>
      <c r="D69" s="28" t="s">
        <v>120</v>
      </c>
      <c r="E69" s="28">
        <v>5.2</v>
      </c>
      <c r="F69" s="28">
        <v>5.2</v>
      </c>
      <c r="G69" s="38">
        <f t="shared" si="7"/>
        <v>1</v>
      </c>
      <c r="H69" s="81"/>
    </row>
    <row r="70" spans="1:8" ht="41.25" customHeight="1" x14ac:dyDescent="0.2">
      <c r="A70" s="263"/>
      <c r="B70" s="264"/>
      <c r="C70" s="82" t="s">
        <v>138</v>
      </c>
      <c r="D70" s="83" t="s">
        <v>120</v>
      </c>
      <c r="E70" s="83">
        <v>33.299999999999997</v>
      </c>
      <c r="F70" s="83">
        <v>33.299999999999997</v>
      </c>
      <c r="G70" s="84">
        <f>F70/E70</f>
        <v>1</v>
      </c>
      <c r="H70" s="85"/>
    </row>
    <row r="71" spans="1:8" ht="46.5" customHeight="1" x14ac:dyDescent="0.2">
      <c r="A71" s="259" t="s">
        <v>337</v>
      </c>
      <c r="B71" s="260"/>
      <c r="C71" s="86" t="s">
        <v>333</v>
      </c>
      <c r="D71" s="87" t="s">
        <v>293</v>
      </c>
      <c r="E71" s="87">
        <v>6</v>
      </c>
      <c r="F71" s="87">
        <v>6</v>
      </c>
      <c r="G71" s="88">
        <v>1</v>
      </c>
      <c r="H71" s="81"/>
    </row>
    <row r="72" spans="1:8" ht="46.5" customHeight="1" x14ac:dyDescent="0.2">
      <c r="A72" s="261"/>
      <c r="B72" s="262"/>
      <c r="C72" s="86" t="s">
        <v>334</v>
      </c>
      <c r="D72" s="87" t="s">
        <v>121</v>
      </c>
      <c r="E72" s="87">
        <v>3550</v>
      </c>
      <c r="F72" s="87">
        <v>3550</v>
      </c>
      <c r="G72" s="88">
        <v>1</v>
      </c>
      <c r="H72" s="81"/>
    </row>
    <row r="73" spans="1:8" ht="43.5" customHeight="1" x14ac:dyDescent="0.2">
      <c r="A73" s="263"/>
      <c r="B73" s="264"/>
      <c r="C73" s="86" t="s">
        <v>335</v>
      </c>
      <c r="D73" s="87" t="s">
        <v>121</v>
      </c>
      <c r="E73" s="89" t="s">
        <v>126</v>
      </c>
      <c r="F73" s="89" t="s">
        <v>126</v>
      </c>
      <c r="G73" s="88"/>
      <c r="H73" s="81"/>
    </row>
    <row r="74" spans="1:8" ht="31.5" customHeight="1" x14ac:dyDescent="0.2">
      <c r="A74" s="37">
        <v>6</v>
      </c>
      <c r="B74" s="243" t="s">
        <v>88</v>
      </c>
      <c r="C74" s="269"/>
      <c r="D74" s="269"/>
      <c r="E74" s="269"/>
      <c r="F74" s="269"/>
      <c r="G74" s="269"/>
      <c r="H74" s="269"/>
    </row>
    <row r="75" spans="1:8" ht="42.75" customHeight="1" x14ac:dyDescent="0.2">
      <c r="A75" s="237" t="s">
        <v>88</v>
      </c>
      <c r="B75" s="265"/>
      <c r="C75" s="22" t="s">
        <v>200</v>
      </c>
      <c r="D75" s="143" t="s">
        <v>184</v>
      </c>
      <c r="E75" s="143">
        <v>42</v>
      </c>
      <c r="F75" s="145">
        <v>62</v>
      </c>
      <c r="G75" s="38">
        <f t="shared" ref="G75:G83" si="8">F75/E75</f>
        <v>1.4761904761904763</v>
      </c>
      <c r="H75" s="35"/>
    </row>
    <row r="76" spans="1:8" ht="75" customHeight="1" x14ac:dyDescent="0.2">
      <c r="A76" s="239"/>
      <c r="B76" s="228"/>
      <c r="C76" s="22" t="s">
        <v>201</v>
      </c>
      <c r="D76" s="143" t="s">
        <v>120</v>
      </c>
      <c r="E76" s="143">
        <v>28</v>
      </c>
      <c r="F76" s="145">
        <v>34.799999999999997</v>
      </c>
      <c r="G76" s="38">
        <f t="shared" si="8"/>
        <v>1.2428571428571427</v>
      </c>
      <c r="H76" s="35"/>
    </row>
    <row r="77" spans="1:8" ht="93" customHeight="1" x14ac:dyDescent="0.2">
      <c r="A77" s="239"/>
      <c r="B77" s="228"/>
      <c r="C77" s="22" t="s">
        <v>202</v>
      </c>
      <c r="D77" s="143" t="s">
        <v>121</v>
      </c>
      <c r="E77" s="143">
        <v>660</v>
      </c>
      <c r="F77" s="145">
        <v>433</v>
      </c>
      <c r="G77" s="38">
        <f t="shared" si="8"/>
        <v>0.65606060606060601</v>
      </c>
      <c r="H77" s="35" t="s">
        <v>203</v>
      </c>
    </row>
    <row r="78" spans="1:8" ht="56.25" customHeight="1" x14ac:dyDescent="0.2">
      <c r="A78" s="239"/>
      <c r="B78" s="228"/>
      <c r="C78" s="22" t="s">
        <v>204</v>
      </c>
      <c r="D78" s="143" t="s">
        <v>121</v>
      </c>
      <c r="E78" s="143">
        <v>6</v>
      </c>
      <c r="F78" s="145">
        <v>8</v>
      </c>
      <c r="G78" s="38">
        <f t="shared" si="8"/>
        <v>1.3333333333333333</v>
      </c>
      <c r="H78" s="35"/>
    </row>
    <row r="79" spans="1:8" ht="36.75" customHeight="1" x14ac:dyDescent="0.2">
      <c r="A79" s="239"/>
      <c r="B79" s="228"/>
      <c r="C79" s="22" t="s">
        <v>205</v>
      </c>
      <c r="D79" s="143" t="s">
        <v>121</v>
      </c>
      <c r="E79" s="143">
        <v>6</v>
      </c>
      <c r="F79" s="145">
        <v>7</v>
      </c>
      <c r="G79" s="38">
        <f t="shared" si="8"/>
        <v>1.1666666666666667</v>
      </c>
      <c r="H79" s="35"/>
    </row>
    <row r="80" spans="1:8" ht="87.75" customHeight="1" x14ac:dyDescent="0.2">
      <c r="A80" s="241"/>
      <c r="B80" s="266"/>
      <c r="C80" s="90" t="s">
        <v>206</v>
      </c>
      <c r="D80" s="142" t="s">
        <v>121</v>
      </c>
      <c r="E80" s="140">
        <v>400</v>
      </c>
      <c r="F80" s="140">
        <v>501</v>
      </c>
      <c r="G80" s="38">
        <f t="shared" si="8"/>
        <v>1.2524999999999999</v>
      </c>
      <c r="H80" s="91"/>
    </row>
    <row r="81" spans="1:8" ht="54" customHeight="1" x14ac:dyDescent="0.2">
      <c r="A81" s="248" t="s">
        <v>237</v>
      </c>
      <c r="B81" s="256"/>
      <c r="C81" s="22" t="s">
        <v>207</v>
      </c>
      <c r="D81" s="143" t="s">
        <v>121</v>
      </c>
      <c r="E81" s="143">
        <v>1416</v>
      </c>
      <c r="F81" s="145">
        <v>1954</v>
      </c>
      <c r="G81" s="38">
        <f t="shared" si="8"/>
        <v>1.3799435028248588</v>
      </c>
      <c r="H81" s="35"/>
    </row>
    <row r="82" spans="1:8" ht="115.5" customHeight="1" x14ac:dyDescent="0.2">
      <c r="A82" s="250"/>
      <c r="B82" s="257"/>
      <c r="C82" s="22" t="s">
        <v>208</v>
      </c>
      <c r="D82" s="143" t="s">
        <v>120</v>
      </c>
      <c r="E82" s="143">
        <v>10</v>
      </c>
      <c r="F82" s="145">
        <v>19.399999999999999</v>
      </c>
      <c r="G82" s="38">
        <f t="shared" si="8"/>
        <v>1.94</v>
      </c>
      <c r="H82" s="35"/>
    </row>
    <row r="83" spans="1:8" ht="85.5" customHeight="1" x14ac:dyDescent="0.2">
      <c r="A83" s="250"/>
      <c r="B83" s="257"/>
      <c r="C83" s="22" t="s">
        <v>209</v>
      </c>
      <c r="D83" s="143" t="s">
        <v>120</v>
      </c>
      <c r="E83" s="143">
        <v>9.1999999999999993</v>
      </c>
      <c r="F83" s="145">
        <v>21.7</v>
      </c>
      <c r="G83" s="38">
        <f t="shared" si="8"/>
        <v>2.3586956521739131</v>
      </c>
      <c r="H83" s="35"/>
    </row>
    <row r="84" spans="1:8" ht="74.25" customHeight="1" x14ac:dyDescent="0.2">
      <c r="A84" s="250"/>
      <c r="B84" s="257"/>
      <c r="C84" s="22" t="s">
        <v>210</v>
      </c>
      <c r="D84" s="143" t="s">
        <v>211</v>
      </c>
      <c r="E84" s="143">
        <v>11</v>
      </c>
      <c r="F84" s="145">
        <v>11.2</v>
      </c>
      <c r="G84" s="38">
        <f t="shared" ref="G84:G89" si="9">F84/E84</f>
        <v>1.0181818181818181</v>
      </c>
      <c r="H84" s="35"/>
    </row>
    <row r="85" spans="1:8" ht="81.75" customHeight="1" x14ac:dyDescent="0.2">
      <c r="A85" s="250"/>
      <c r="B85" s="257"/>
      <c r="C85" s="92" t="s">
        <v>212</v>
      </c>
      <c r="D85" s="143" t="s">
        <v>120</v>
      </c>
      <c r="E85" s="143">
        <v>58</v>
      </c>
      <c r="F85" s="145">
        <v>83.4</v>
      </c>
      <c r="G85" s="38">
        <f t="shared" si="9"/>
        <v>1.4379310344827587</v>
      </c>
      <c r="H85" s="35"/>
    </row>
    <row r="86" spans="1:8" ht="87" customHeight="1" x14ac:dyDescent="0.2">
      <c r="A86" s="252"/>
      <c r="B86" s="258"/>
      <c r="C86" s="92" t="s">
        <v>213</v>
      </c>
      <c r="D86" s="143" t="s">
        <v>120</v>
      </c>
      <c r="E86" s="143">
        <v>35</v>
      </c>
      <c r="F86" s="145">
        <v>42</v>
      </c>
      <c r="G86" s="38">
        <f t="shared" si="9"/>
        <v>1.2</v>
      </c>
      <c r="H86" s="35"/>
    </row>
    <row r="87" spans="1:8" ht="72.75" customHeight="1" x14ac:dyDescent="0.2">
      <c r="A87" s="248" t="s">
        <v>238</v>
      </c>
      <c r="B87" s="256"/>
      <c r="C87" s="22" t="s">
        <v>214</v>
      </c>
      <c r="D87" s="143" t="s">
        <v>142</v>
      </c>
      <c r="E87" s="143">
        <v>68</v>
      </c>
      <c r="F87" s="145">
        <v>64</v>
      </c>
      <c r="G87" s="38">
        <f t="shared" si="9"/>
        <v>0.94117647058823528</v>
      </c>
      <c r="H87" s="35" t="s">
        <v>199</v>
      </c>
    </row>
    <row r="88" spans="1:8" ht="73.5" customHeight="1" x14ac:dyDescent="0.2">
      <c r="A88" s="250"/>
      <c r="B88" s="257"/>
      <c r="C88" s="22" t="s">
        <v>215</v>
      </c>
      <c r="D88" s="143" t="s">
        <v>121</v>
      </c>
      <c r="E88" s="143">
        <v>320</v>
      </c>
      <c r="F88" s="145">
        <v>304</v>
      </c>
      <c r="G88" s="38">
        <f t="shared" si="9"/>
        <v>0.95</v>
      </c>
      <c r="H88" s="35" t="s">
        <v>199</v>
      </c>
    </row>
    <row r="89" spans="1:8" ht="72.75" customHeight="1" x14ac:dyDescent="0.2">
      <c r="A89" s="252"/>
      <c r="B89" s="258"/>
      <c r="C89" s="22" t="s">
        <v>216</v>
      </c>
      <c r="D89" s="143" t="s">
        <v>142</v>
      </c>
      <c r="E89" s="143">
        <v>56</v>
      </c>
      <c r="F89" s="145">
        <v>94</v>
      </c>
      <c r="G89" s="38">
        <f t="shared" si="9"/>
        <v>1.6785714285714286</v>
      </c>
      <c r="H89" s="35"/>
    </row>
    <row r="90" spans="1:8" ht="87" customHeight="1" x14ac:dyDescent="0.2">
      <c r="A90" s="248" t="s">
        <v>239</v>
      </c>
      <c r="B90" s="256"/>
      <c r="C90" s="22" t="s">
        <v>217</v>
      </c>
      <c r="D90" s="143" t="s">
        <v>121</v>
      </c>
      <c r="E90" s="143">
        <v>660</v>
      </c>
      <c r="F90" s="145">
        <v>433</v>
      </c>
      <c r="G90" s="38">
        <f>F90/E90</f>
        <v>0.65606060606060601</v>
      </c>
      <c r="H90" s="35" t="s">
        <v>331</v>
      </c>
    </row>
    <row r="91" spans="1:8" ht="57.75" customHeight="1" x14ac:dyDescent="0.2">
      <c r="A91" s="252"/>
      <c r="B91" s="258"/>
      <c r="C91" s="22" t="s">
        <v>218</v>
      </c>
      <c r="D91" s="143" t="s">
        <v>121</v>
      </c>
      <c r="E91" s="143">
        <v>8</v>
      </c>
      <c r="F91" s="145">
        <v>6</v>
      </c>
      <c r="G91" s="38">
        <f>F91/E91</f>
        <v>0.75</v>
      </c>
      <c r="H91" s="35" t="s">
        <v>199</v>
      </c>
    </row>
    <row r="92" spans="1:8" ht="31.5" customHeight="1" x14ac:dyDescent="0.2">
      <c r="A92" s="37">
        <v>7</v>
      </c>
      <c r="B92" s="243" t="s">
        <v>89</v>
      </c>
      <c r="C92" s="254"/>
      <c r="D92" s="254"/>
      <c r="E92" s="254"/>
      <c r="F92" s="254"/>
      <c r="G92" s="254"/>
      <c r="H92" s="243"/>
    </row>
    <row r="93" spans="1:8" ht="45.75" customHeight="1" x14ac:dyDescent="0.2">
      <c r="A93" s="248" t="s">
        <v>240</v>
      </c>
      <c r="B93" s="249"/>
      <c r="C93" s="22" t="s">
        <v>157</v>
      </c>
      <c r="D93" s="143" t="s">
        <v>120</v>
      </c>
      <c r="E93" s="143">
        <v>28</v>
      </c>
      <c r="F93" s="143">
        <v>28</v>
      </c>
      <c r="G93" s="38">
        <f>F93/E93</f>
        <v>1</v>
      </c>
      <c r="H93" s="145"/>
    </row>
    <row r="94" spans="1:8" ht="47.25" customHeight="1" x14ac:dyDescent="0.2">
      <c r="A94" s="250"/>
      <c r="B94" s="251"/>
      <c r="C94" s="22" t="s">
        <v>158</v>
      </c>
      <c r="D94" s="143" t="s">
        <v>142</v>
      </c>
      <c r="E94" s="143">
        <v>20</v>
      </c>
      <c r="F94" s="143">
        <v>20</v>
      </c>
      <c r="G94" s="38">
        <f>F94/E94</f>
        <v>1</v>
      </c>
      <c r="H94" s="145"/>
    </row>
    <row r="95" spans="1:8" ht="57" customHeight="1" x14ac:dyDescent="0.2">
      <c r="A95" s="252"/>
      <c r="B95" s="253"/>
      <c r="C95" s="22" t="s">
        <v>159</v>
      </c>
      <c r="D95" s="143" t="s">
        <v>142</v>
      </c>
      <c r="E95" s="143">
        <v>3000</v>
      </c>
      <c r="F95" s="143">
        <v>3000</v>
      </c>
      <c r="G95" s="38">
        <v>1</v>
      </c>
      <c r="H95" s="145"/>
    </row>
    <row r="96" spans="1:8" ht="68.25" customHeight="1" x14ac:dyDescent="0.2">
      <c r="A96" s="248" t="s">
        <v>241</v>
      </c>
      <c r="B96" s="249"/>
      <c r="C96" s="22" t="s">
        <v>160</v>
      </c>
      <c r="D96" s="143" t="s">
        <v>120</v>
      </c>
      <c r="E96" s="143">
        <v>2</v>
      </c>
      <c r="F96" s="143">
        <v>2</v>
      </c>
      <c r="G96" s="38">
        <f t="shared" ref="G96:G97" si="10">F96/E96</f>
        <v>1</v>
      </c>
      <c r="H96" s="145"/>
    </row>
    <row r="97" spans="1:8" ht="129.75" customHeight="1" x14ac:dyDescent="0.2">
      <c r="A97" s="250"/>
      <c r="B97" s="251"/>
      <c r="C97" s="22" t="s">
        <v>161</v>
      </c>
      <c r="D97" s="143" t="s">
        <v>120</v>
      </c>
      <c r="E97" s="143">
        <v>2.2999999999999998</v>
      </c>
      <c r="F97" s="143">
        <v>2.2999999999999998</v>
      </c>
      <c r="G97" s="38">
        <f t="shared" si="10"/>
        <v>1</v>
      </c>
      <c r="H97" s="145"/>
    </row>
    <row r="98" spans="1:8" ht="66" customHeight="1" x14ac:dyDescent="0.2">
      <c r="A98" s="252"/>
      <c r="B98" s="253"/>
      <c r="C98" s="22" t="s">
        <v>162</v>
      </c>
      <c r="D98" s="143" t="s">
        <v>120</v>
      </c>
      <c r="E98" s="143">
        <v>1.7</v>
      </c>
      <c r="F98" s="143">
        <v>1.7</v>
      </c>
      <c r="G98" s="38">
        <v>1</v>
      </c>
      <c r="H98" s="145"/>
    </row>
    <row r="99" spans="1:8" ht="31.5" customHeight="1" x14ac:dyDescent="0.2">
      <c r="A99" s="37">
        <v>8</v>
      </c>
      <c r="B99" s="243" t="s">
        <v>93</v>
      </c>
      <c r="C99" s="243"/>
      <c r="D99" s="243"/>
      <c r="E99" s="243"/>
      <c r="F99" s="243"/>
      <c r="G99" s="243"/>
      <c r="H99" s="243"/>
    </row>
    <row r="100" spans="1:8" ht="31.5" customHeight="1" x14ac:dyDescent="0.2">
      <c r="A100" s="248" t="s">
        <v>242</v>
      </c>
      <c r="B100" s="249"/>
      <c r="C100" s="35" t="s">
        <v>298</v>
      </c>
      <c r="D100" s="145" t="s">
        <v>299</v>
      </c>
      <c r="E100" s="145">
        <v>0</v>
      </c>
      <c r="F100" s="145">
        <f>1.84+0.305</f>
        <v>2.145</v>
      </c>
      <c r="G100" s="38" t="s">
        <v>126</v>
      </c>
      <c r="H100" s="147"/>
    </row>
    <row r="101" spans="1:8" ht="31.5" customHeight="1" x14ac:dyDescent="0.25">
      <c r="A101" s="248" t="s">
        <v>243</v>
      </c>
      <c r="B101" s="249"/>
      <c r="C101" s="93" t="s">
        <v>300</v>
      </c>
      <c r="D101" s="145" t="s">
        <v>301</v>
      </c>
      <c r="E101" s="145">
        <v>1.78</v>
      </c>
      <c r="F101" s="145">
        <f>E101</f>
        <v>1.78</v>
      </c>
      <c r="G101" s="38">
        <f t="shared" ref="G101:G104" si="11">F101/E101</f>
        <v>1</v>
      </c>
      <c r="H101" s="145"/>
    </row>
    <row r="102" spans="1:8" ht="31.5" customHeight="1" x14ac:dyDescent="0.25">
      <c r="A102" s="250"/>
      <c r="B102" s="251"/>
      <c r="C102" s="93" t="s">
        <v>302</v>
      </c>
      <c r="D102" s="145" t="s">
        <v>303</v>
      </c>
      <c r="E102" s="145">
        <v>1368.6</v>
      </c>
      <c r="F102" s="145">
        <f>E102</f>
        <v>1368.6</v>
      </c>
      <c r="G102" s="38">
        <f t="shared" si="11"/>
        <v>1</v>
      </c>
      <c r="H102" s="145"/>
    </row>
    <row r="103" spans="1:8" ht="31.5" customHeight="1" x14ac:dyDescent="0.25">
      <c r="A103" s="250"/>
      <c r="B103" s="251"/>
      <c r="C103" s="93" t="s">
        <v>304</v>
      </c>
      <c r="D103" s="145" t="s">
        <v>305</v>
      </c>
      <c r="E103" s="145">
        <v>439.8</v>
      </c>
      <c r="F103" s="145">
        <f>E103</f>
        <v>439.8</v>
      </c>
      <c r="G103" s="38">
        <f t="shared" si="11"/>
        <v>1</v>
      </c>
      <c r="H103" s="145"/>
    </row>
    <row r="104" spans="1:8" ht="31.5" customHeight="1" x14ac:dyDescent="0.25">
      <c r="A104" s="250"/>
      <c r="B104" s="251"/>
      <c r="C104" s="93" t="s">
        <v>306</v>
      </c>
      <c r="D104" s="145" t="s">
        <v>120</v>
      </c>
      <c r="E104" s="145">
        <v>98.3</v>
      </c>
      <c r="F104" s="145">
        <f>E104</f>
        <v>98.3</v>
      </c>
      <c r="G104" s="38">
        <f t="shared" si="11"/>
        <v>1</v>
      </c>
      <c r="H104" s="145"/>
    </row>
    <row r="105" spans="1:8" ht="31.5" customHeight="1" x14ac:dyDescent="0.25">
      <c r="A105" s="252"/>
      <c r="B105" s="253"/>
      <c r="C105" s="93" t="s">
        <v>307</v>
      </c>
      <c r="D105" s="145" t="s">
        <v>120</v>
      </c>
      <c r="E105" s="145">
        <v>67</v>
      </c>
      <c r="F105" s="145">
        <f>E105</f>
        <v>67</v>
      </c>
      <c r="G105" s="38">
        <f>F105/E105</f>
        <v>1</v>
      </c>
      <c r="H105" s="145"/>
    </row>
    <row r="106" spans="1:8" ht="31.5" customHeight="1" x14ac:dyDescent="0.2">
      <c r="A106" s="37">
        <v>9</v>
      </c>
      <c r="B106" s="243" t="s">
        <v>94</v>
      </c>
      <c r="C106" s="243"/>
      <c r="D106" s="243"/>
      <c r="E106" s="243"/>
      <c r="F106" s="243"/>
      <c r="G106" s="243"/>
      <c r="H106" s="243"/>
    </row>
    <row r="107" spans="1:8" ht="54.75" customHeight="1" x14ac:dyDescent="0.2">
      <c r="A107" s="237" t="s">
        <v>94</v>
      </c>
      <c r="B107" s="238"/>
      <c r="C107" s="94" t="s">
        <v>288</v>
      </c>
      <c r="D107" s="144" t="s">
        <v>286</v>
      </c>
      <c r="E107" s="143">
        <v>101.7</v>
      </c>
      <c r="F107" s="28">
        <v>104.4</v>
      </c>
      <c r="G107" s="38">
        <f t="shared" ref="G107:G109" si="12">F107/E107</f>
        <v>1.0265486725663717</v>
      </c>
      <c r="H107" s="95"/>
    </row>
    <row r="108" spans="1:8" ht="53.25" customHeight="1" x14ac:dyDescent="0.2">
      <c r="A108" s="239"/>
      <c r="B108" s="240"/>
      <c r="C108" s="94" t="s">
        <v>289</v>
      </c>
      <c r="D108" s="144" t="s">
        <v>286</v>
      </c>
      <c r="E108" s="143">
        <v>106.2</v>
      </c>
      <c r="F108" s="28">
        <v>100.5</v>
      </c>
      <c r="G108" s="38">
        <f t="shared" si="12"/>
        <v>0.9463276836158192</v>
      </c>
      <c r="H108" s="95"/>
    </row>
    <row r="109" spans="1:8" ht="57" customHeight="1" x14ac:dyDescent="0.2">
      <c r="A109" s="241"/>
      <c r="B109" s="242"/>
      <c r="C109" s="96" t="s">
        <v>290</v>
      </c>
      <c r="D109" s="144" t="s">
        <v>286</v>
      </c>
      <c r="E109" s="143">
        <v>99.3</v>
      </c>
      <c r="F109" s="28">
        <v>100.6</v>
      </c>
      <c r="G109" s="38">
        <f t="shared" si="12"/>
        <v>1.013091641490433</v>
      </c>
      <c r="H109" s="35"/>
    </row>
    <row r="110" spans="1:8" ht="55.5" customHeight="1" x14ac:dyDescent="0.2">
      <c r="A110" s="267" t="s">
        <v>244</v>
      </c>
      <c r="B110" s="268"/>
      <c r="C110" s="94" t="s">
        <v>291</v>
      </c>
      <c r="D110" s="144" t="s">
        <v>287</v>
      </c>
      <c r="E110" s="143">
        <v>170</v>
      </c>
      <c r="F110" s="145">
        <v>102</v>
      </c>
      <c r="G110" s="38">
        <f t="shared" ref="G110:G111" si="13">F110/E110</f>
        <v>0.6</v>
      </c>
      <c r="H110" s="20" t="s">
        <v>311</v>
      </c>
    </row>
    <row r="111" spans="1:8" ht="50.25" customHeight="1" x14ac:dyDescent="0.2">
      <c r="A111" s="244" t="s">
        <v>245</v>
      </c>
      <c r="B111" s="245"/>
      <c r="C111" s="92" t="s">
        <v>308</v>
      </c>
      <c r="D111" s="141" t="s">
        <v>120</v>
      </c>
      <c r="E111" s="141">
        <v>100</v>
      </c>
      <c r="F111" s="145">
        <v>90.5</v>
      </c>
      <c r="G111" s="38">
        <f t="shared" si="13"/>
        <v>0.90500000000000003</v>
      </c>
      <c r="H111" s="35"/>
    </row>
    <row r="112" spans="1:8" ht="31.5" customHeight="1" x14ac:dyDescent="0.2">
      <c r="A112" s="37">
        <v>10</v>
      </c>
      <c r="B112" s="243" t="s">
        <v>90</v>
      </c>
      <c r="C112" s="255"/>
      <c r="D112" s="255"/>
      <c r="E112" s="255"/>
      <c r="F112" s="255"/>
      <c r="G112" s="255"/>
      <c r="H112" s="243"/>
    </row>
    <row r="113" spans="1:8" ht="84" customHeight="1" x14ac:dyDescent="0.2">
      <c r="A113" s="248" t="s">
        <v>246</v>
      </c>
      <c r="B113" s="249"/>
      <c r="C113" s="35" t="s">
        <v>392</v>
      </c>
      <c r="D113" s="67" t="s">
        <v>163</v>
      </c>
      <c r="E113" s="42">
        <v>21256</v>
      </c>
      <c r="F113" s="42">
        <v>31171.780999999999</v>
      </c>
      <c r="G113" s="38">
        <f t="shared" ref="G113" si="14">F113/E113</f>
        <v>1.4664932724877682</v>
      </c>
      <c r="H113" s="35"/>
    </row>
    <row r="114" spans="1:8" ht="31.5" hidden="1" customHeight="1" x14ac:dyDescent="0.2">
      <c r="A114" s="37"/>
      <c r="B114" s="245" t="s">
        <v>247</v>
      </c>
      <c r="C114" s="35"/>
      <c r="D114" s="67"/>
      <c r="E114" s="181"/>
      <c r="F114" s="181"/>
      <c r="G114" s="38" t="e">
        <f t="shared" ref="G114:G118" si="15">F114/E114</f>
        <v>#DIV/0!</v>
      </c>
      <c r="H114" s="35"/>
    </row>
    <row r="115" spans="1:8" ht="31.5" hidden="1" customHeight="1" x14ac:dyDescent="0.2">
      <c r="A115" s="37"/>
      <c r="B115" s="245"/>
      <c r="C115" s="35"/>
      <c r="D115" s="67"/>
      <c r="E115" s="181"/>
      <c r="F115" s="181"/>
      <c r="G115" s="38" t="e">
        <f t="shared" si="15"/>
        <v>#DIV/0!</v>
      </c>
      <c r="H115" s="273"/>
    </row>
    <row r="116" spans="1:8" ht="31.5" hidden="1" customHeight="1" x14ac:dyDescent="0.2">
      <c r="A116" s="37"/>
      <c r="B116" s="245" t="s">
        <v>248</v>
      </c>
      <c r="C116" s="35"/>
      <c r="D116" s="181"/>
      <c r="E116" s="181"/>
      <c r="F116" s="181"/>
      <c r="G116" s="38" t="e">
        <f t="shared" si="15"/>
        <v>#DIV/0!</v>
      </c>
      <c r="H116" s="273"/>
    </row>
    <row r="117" spans="1:8" ht="31.5" hidden="1" customHeight="1" x14ac:dyDescent="0.2">
      <c r="A117" s="37"/>
      <c r="B117" s="245"/>
      <c r="C117" s="35"/>
      <c r="D117" s="181"/>
      <c r="E117" s="181"/>
      <c r="F117" s="181"/>
      <c r="G117" s="38" t="e">
        <f t="shared" si="15"/>
        <v>#DIV/0!</v>
      </c>
      <c r="H117" s="273"/>
    </row>
    <row r="118" spans="1:8" ht="52.5" customHeight="1" x14ac:dyDescent="0.2">
      <c r="A118" s="244" t="s">
        <v>249</v>
      </c>
      <c r="B118" s="245"/>
      <c r="C118" s="35" t="s">
        <v>164</v>
      </c>
      <c r="D118" s="181" t="s">
        <v>165</v>
      </c>
      <c r="E118" s="181">
        <v>2</v>
      </c>
      <c r="F118" s="181">
        <v>2</v>
      </c>
      <c r="G118" s="38">
        <f t="shared" si="15"/>
        <v>1</v>
      </c>
      <c r="H118" s="273"/>
    </row>
    <row r="119" spans="1:8" ht="61.5" customHeight="1" x14ac:dyDescent="0.2">
      <c r="A119" s="244" t="s">
        <v>250</v>
      </c>
      <c r="B119" s="245"/>
      <c r="C119" s="35" t="s">
        <v>393</v>
      </c>
      <c r="D119" s="181" t="s">
        <v>293</v>
      </c>
      <c r="E119" s="181">
        <v>4</v>
      </c>
      <c r="F119" s="181">
        <v>2</v>
      </c>
      <c r="G119" s="38">
        <v>0.5</v>
      </c>
      <c r="H119" s="35"/>
    </row>
    <row r="120" spans="1:8" ht="31.5" customHeight="1" x14ac:dyDescent="0.2">
      <c r="A120" s="37">
        <v>11</v>
      </c>
      <c r="B120" s="255" t="s">
        <v>92</v>
      </c>
      <c r="C120" s="255"/>
      <c r="D120" s="255"/>
      <c r="E120" s="255"/>
      <c r="F120" s="255"/>
      <c r="G120" s="255"/>
      <c r="H120" s="243"/>
    </row>
    <row r="121" spans="1:8" ht="65.25" customHeight="1" x14ac:dyDescent="0.2">
      <c r="A121" s="237" t="s">
        <v>92</v>
      </c>
      <c r="B121" s="238"/>
      <c r="C121" s="35" t="s">
        <v>185</v>
      </c>
      <c r="D121" s="160" t="s">
        <v>188</v>
      </c>
      <c r="E121" s="160" t="s">
        <v>378</v>
      </c>
      <c r="F121" s="43">
        <v>0</v>
      </c>
      <c r="G121" s="43">
        <v>0</v>
      </c>
      <c r="H121" s="160"/>
    </row>
    <row r="122" spans="1:8" ht="51.75" customHeight="1" x14ac:dyDescent="0.2">
      <c r="A122" s="239"/>
      <c r="B122" s="240"/>
      <c r="C122" s="35" t="s">
        <v>186</v>
      </c>
      <c r="D122" s="160" t="s">
        <v>188</v>
      </c>
      <c r="E122" s="160" t="s">
        <v>379</v>
      </c>
      <c r="F122" s="160">
        <v>91.99</v>
      </c>
      <c r="G122" s="44">
        <f>F122/90*100</f>
        <v>102.21111111111109</v>
      </c>
      <c r="H122" s="160"/>
    </row>
    <row r="123" spans="1:8" ht="75.75" customHeight="1" x14ac:dyDescent="0.2">
      <c r="A123" s="241"/>
      <c r="B123" s="242"/>
      <c r="C123" s="35" t="s">
        <v>187</v>
      </c>
      <c r="D123" s="160" t="s">
        <v>380</v>
      </c>
      <c r="E123" s="40" t="s">
        <v>381</v>
      </c>
      <c r="F123" s="178">
        <v>4.5179999999999998</v>
      </c>
      <c r="G123" s="178">
        <f>4.518/4.5*100</f>
        <v>100.4</v>
      </c>
      <c r="H123" s="160"/>
    </row>
    <row r="124" spans="1:8" ht="66.75" customHeight="1" x14ac:dyDescent="0.2">
      <c r="A124" s="248" t="s">
        <v>251</v>
      </c>
      <c r="B124" s="249"/>
      <c r="C124" s="35" t="s">
        <v>187</v>
      </c>
      <c r="D124" s="160" t="s">
        <v>382</v>
      </c>
      <c r="E124" s="160" t="s">
        <v>381</v>
      </c>
      <c r="F124" s="178">
        <v>4.5179999999999998</v>
      </c>
      <c r="G124" s="178">
        <f>4.518/4.5*100</f>
        <v>100.4</v>
      </c>
      <c r="H124" s="160"/>
    </row>
    <row r="125" spans="1:8" ht="96.75" customHeight="1" x14ac:dyDescent="0.2">
      <c r="A125" s="252"/>
      <c r="B125" s="253"/>
      <c r="C125" s="35" t="s">
        <v>189</v>
      </c>
      <c r="D125" s="160" t="s">
        <v>190</v>
      </c>
      <c r="E125" s="39">
        <v>0</v>
      </c>
      <c r="F125" s="160">
        <v>0</v>
      </c>
      <c r="G125" s="160">
        <v>100</v>
      </c>
      <c r="H125" s="160"/>
    </row>
    <row r="126" spans="1:8" ht="116.25" customHeight="1" x14ac:dyDescent="0.2">
      <c r="A126" s="248" t="s">
        <v>252</v>
      </c>
      <c r="B126" s="249"/>
      <c r="C126" s="35" t="s">
        <v>191</v>
      </c>
      <c r="D126" s="160" t="s">
        <v>188</v>
      </c>
      <c r="E126" s="40" t="s">
        <v>383</v>
      </c>
      <c r="F126" s="43">
        <v>0</v>
      </c>
      <c r="G126" s="43">
        <v>0</v>
      </c>
      <c r="H126" s="160"/>
    </row>
    <row r="127" spans="1:8" ht="59.25" customHeight="1" x14ac:dyDescent="0.2">
      <c r="A127" s="250"/>
      <c r="B127" s="251"/>
      <c r="C127" s="35" t="s">
        <v>192</v>
      </c>
      <c r="D127" s="160" t="s">
        <v>188</v>
      </c>
      <c r="E127" s="40" t="s">
        <v>378</v>
      </c>
      <c r="F127" s="43">
        <v>0</v>
      </c>
      <c r="G127" s="38">
        <v>0</v>
      </c>
      <c r="H127" s="160"/>
    </row>
    <row r="128" spans="1:8" ht="68.25" customHeight="1" x14ac:dyDescent="0.2">
      <c r="A128" s="252"/>
      <c r="B128" s="253"/>
      <c r="C128" s="35" t="s">
        <v>384</v>
      </c>
      <c r="D128" s="160" t="s">
        <v>190</v>
      </c>
      <c r="E128" s="39">
        <v>0</v>
      </c>
      <c r="F128" s="39">
        <v>0</v>
      </c>
      <c r="G128" s="38">
        <v>0</v>
      </c>
      <c r="H128" s="35"/>
    </row>
    <row r="129" spans="1:8" ht="71.25" customHeight="1" x14ac:dyDescent="0.2">
      <c r="A129" s="248" t="s">
        <v>245</v>
      </c>
      <c r="B129" s="249"/>
      <c r="C129" s="35" t="s">
        <v>186</v>
      </c>
      <c r="D129" s="145" t="s">
        <v>188</v>
      </c>
      <c r="E129" s="145" t="s">
        <v>379</v>
      </c>
      <c r="F129" s="145">
        <v>91.99</v>
      </c>
      <c r="G129" s="44">
        <f>F129/90*100</f>
        <v>102.21111111111109</v>
      </c>
      <c r="H129" s="145"/>
    </row>
    <row r="130" spans="1:8" ht="47.25" customHeight="1" x14ac:dyDescent="0.2">
      <c r="A130" s="252"/>
      <c r="B130" s="253"/>
      <c r="C130" s="35" t="s">
        <v>385</v>
      </c>
      <c r="D130" s="145" t="s">
        <v>188</v>
      </c>
      <c r="E130" s="145">
        <v>100</v>
      </c>
      <c r="F130" s="145">
        <v>100</v>
      </c>
      <c r="G130" s="178">
        <f>F130/E130*100</f>
        <v>100</v>
      </c>
      <c r="H130" s="145"/>
    </row>
    <row r="131" spans="1:8" ht="31.5" customHeight="1" x14ac:dyDescent="0.2">
      <c r="A131" s="37">
        <v>12</v>
      </c>
      <c r="B131" s="254" t="s">
        <v>91</v>
      </c>
      <c r="C131" s="254"/>
      <c r="D131" s="254"/>
      <c r="E131" s="254"/>
      <c r="F131" s="254"/>
      <c r="G131" s="254"/>
      <c r="H131" s="243"/>
    </row>
    <row r="132" spans="1:8" ht="131.25" customHeight="1" x14ac:dyDescent="0.2">
      <c r="A132" s="237" t="s">
        <v>91</v>
      </c>
      <c r="B132" s="238"/>
      <c r="C132" s="80" t="s">
        <v>166</v>
      </c>
      <c r="D132" s="143" t="s">
        <v>120</v>
      </c>
      <c r="E132" s="143">
        <v>6</v>
      </c>
      <c r="F132" s="145">
        <v>6</v>
      </c>
      <c r="G132" s="38">
        <f>F132/E132</f>
        <v>1</v>
      </c>
      <c r="H132" s="145"/>
    </row>
    <row r="133" spans="1:8" ht="73.5" customHeight="1" x14ac:dyDescent="0.2">
      <c r="A133" s="241"/>
      <c r="B133" s="242"/>
      <c r="C133" s="98" t="s">
        <v>167</v>
      </c>
      <c r="D133" s="143" t="s">
        <v>120</v>
      </c>
      <c r="E133" s="143">
        <v>41.1</v>
      </c>
      <c r="F133" s="145">
        <v>41.1</v>
      </c>
      <c r="G133" s="38">
        <f>F133/E133</f>
        <v>1</v>
      </c>
      <c r="H133" s="145"/>
    </row>
    <row r="134" spans="1:8" ht="47.25" customHeight="1" x14ac:dyDescent="0.2">
      <c r="A134" s="248" t="s">
        <v>253</v>
      </c>
      <c r="B134" s="249"/>
      <c r="C134" s="98" t="s">
        <v>168</v>
      </c>
      <c r="D134" s="143" t="s">
        <v>120</v>
      </c>
      <c r="E134" s="145">
        <v>10</v>
      </c>
      <c r="F134" s="145">
        <v>10</v>
      </c>
      <c r="G134" s="38">
        <f>F134/E134</f>
        <v>1</v>
      </c>
      <c r="H134" s="145"/>
    </row>
    <row r="135" spans="1:8" ht="55.5" customHeight="1" x14ac:dyDescent="0.2">
      <c r="A135" s="250"/>
      <c r="B135" s="251"/>
      <c r="C135" s="98" t="s">
        <v>169</v>
      </c>
      <c r="D135" s="143" t="s">
        <v>120</v>
      </c>
      <c r="E135" s="145">
        <v>6</v>
      </c>
      <c r="F135" s="145">
        <v>6</v>
      </c>
      <c r="G135" s="38">
        <f t="shared" ref="G135:G139" si="16">F135/E135</f>
        <v>1</v>
      </c>
      <c r="H135" s="145"/>
    </row>
    <row r="136" spans="1:8" ht="65.25" customHeight="1" x14ac:dyDescent="0.2">
      <c r="A136" s="250"/>
      <c r="B136" s="251"/>
      <c r="C136" s="80" t="s">
        <v>170</v>
      </c>
      <c r="D136" s="143" t="s">
        <v>120</v>
      </c>
      <c r="E136" s="145">
        <v>5</v>
      </c>
      <c r="F136" s="145">
        <v>5</v>
      </c>
      <c r="G136" s="38">
        <f t="shared" si="16"/>
        <v>1</v>
      </c>
      <c r="H136" s="145"/>
    </row>
    <row r="137" spans="1:8" ht="85.5" customHeight="1" x14ac:dyDescent="0.2">
      <c r="A137" s="252"/>
      <c r="B137" s="253"/>
      <c r="C137" s="80" t="s">
        <v>171</v>
      </c>
      <c r="D137" s="143" t="s">
        <v>120</v>
      </c>
      <c r="E137" s="145">
        <v>80</v>
      </c>
      <c r="F137" s="145">
        <v>80</v>
      </c>
      <c r="G137" s="38">
        <f t="shared" si="16"/>
        <v>1</v>
      </c>
      <c r="H137" s="145"/>
    </row>
    <row r="138" spans="1:8" ht="83.25" customHeight="1" x14ac:dyDescent="0.2">
      <c r="A138" s="248" t="s">
        <v>254</v>
      </c>
      <c r="B138" s="249"/>
      <c r="C138" s="98" t="s">
        <v>172</v>
      </c>
      <c r="D138" s="143" t="s">
        <v>120</v>
      </c>
      <c r="E138" s="145">
        <v>8.5</v>
      </c>
      <c r="F138" s="145">
        <v>8.5</v>
      </c>
      <c r="G138" s="38">
        <f t="shared" si="16"/>
        <v>1</v>
      </c>
      <c r="H138" s="145"/>
    </row>
    <row r="139" spans="1:8" ht="55.5" customHeight="1" x14ac:dyDescent="0.2">
      <c r="A139" s="250"/>
      <c r="B139" s="251"/>
      <c r="C139" s="98" t="s">
        <v>173</v>
      </c>
      <c r="D139" s="143" t="s">
        <v>176</v>
      </c>
      <c r="E139" s="76">
        <v>5546.21</v>
      </c>
      <c r="F139" s="76">
        <v>5546.21</v>
      </c>
      <c r="G139" s="38">
        <f t="shared" si="16"/>
        <v>1</v>
      </c>
      <c r="H139" s="145"/>
    </row>
    <row r="140" spans="1:8" ht="36.75" customHeight="1" x14ac:dyDescent="0.2">
      <c r="A140" s="250"/>
      <c r="B140" s="251"/>
      <c r="C140" s="35" t="s">
        <v>174</v>
      </c>
      <c r="D140" s="145" t="s">
        <v>177</v>
      </c>
      <c r="E140" s="145">
        <v>451</v>
      </c>
      <c r="F140" s="145">
        <v>451</v>
      </c>
      <c r="G140" s="38">
        <f t="shared" ref="G140:G141" si="17">F140/E140</f>
        <v>1</v>
      </c>
      <c r="H140" s="145"/>
    </row>
    <row r="141" spans="1:8" ht="117" customHeight="1" x14ac:dyDescent="0.2">
      <c r="A141" s="252"/>
      <c r="B141" s="253"/>
      <c r="C141" s="80" t="s">
        <v>175</v>
      </c>
      <c r="D141" s="145" t="s">
        <v>120</v>
      </c>
      <c r="E141" s="145">
        <v>80</v>
      </c>
      <c r="F141" s="145">
        <v>80</v>
      </c>
      <c r="G141" s="38">
        <f t="shared" si="17"/>
        <v>1</v>
      </c>
      <c r="H141" s="35"/>
    </row>
    <row r="142" spans="1:8" ht="31.5" customHeight="1" x14ac:dyDescent="0.2">
      <c r="A142" s="37">
        <v>13</v>
      </c>
      <c r="B142" s="243" t="s">
        <v>178</v>
      </c>
      <c r="C142" s="243"/>
      <c r="D142" s="243"/>
      <c r="E142" s="243"/>
      <c r="F142" s="243"/>
      <c r="G142" s="243"/>
      <c r="H142" s="243"/>
    </row>
    <row r="143" spans="1:8" ht="52.5" customHeight="1" x14ac:dyDescent="0.2">
      <c r="A143" s="237" t="s">
        <v>178</v>
      </c>
      <c r="B143" s="238"/>
      <c r="C143" s="35" t="s">
        <v>180</v>
      </c>
      <c r="D143" s="145" t="s">
        <v>183</v>
      </c>
      <c r="E143" s="145">
        <v>6</v>
      </c>
      <c r="F143" s="39">
        <v>73.415649999999999</v>
      </c>
      <c r="G143" s="38">
        <f t="shared" ref="G143" si="18">F143/E143</f>
        <v>12.235941666666667</v>
      </c>
      <c r="H143" s="35"/>
    </row>
    <row r="144" spans="1:8" ht="47.25" customHeight="1" x14ac:dyDescent="0.2">
      <c r="A144" s="239"/>
      <c r="B144" s="240"/>
      <c r="C144" s="91" t="s">
        <v>181</v>
      </c>
      <c r="D144" s="140" t="s">
        <v>184</v>
      </c>
      <c r="E144" s="140">
        <v>5</v>
      </c>
      <c r="F144" s="140">
        <v>10</v>
      </c>
      <c r="G144" s="84">
        <f>F144/E144</f>
        <v>2</v>
      </c>
      <c r="H144" s="246"/>
    </row>
    <row r="145" spans="1:8" ht="75" customHeight="1" x14ac:dyDescent="0.2">
      <c r="A145" s="241"/>
      <c r="B145" s="242"/>
      <c r="C145" s="35" t="s">
        <v>182</v>
      </c>
      <c r="D145" s="145" t="s">
        <v>184</v>
      </c>
      <c r="E145" s="145">
        <v>3</v>
      </c>
      <c r="F145" s="145">
        <v>14</v>
      </c>
      <c r="G145" s="38">
        <f>F145/E145</f>
        <v>4.666666666666667</v>
      </c>
      <c r="H145" s="247"/>
    </row>
    <row r="146" spans="1:8" ht="31.5" customHeight="1" x14ac:dyDescent="0.2">
      <c r="A146" s="37">
        <v>14</v>
      </c>
      <c r="B146" s="243" t="s">
        <v>40</v>
      </c>
      <c r="C146" s="243"/>
      <c r="D146" s="243"/>
      <c r="E146" s="243"/>
      <c r="F146" s="243"/>
      <c r="G146" s="243"/>
      <c r="H146" s="243"/>
    </row>
    <row r="147" spans="1:8" ht="46.5" customHeight="1" x14ac:dyDescent="0.2">
      <c r="A147" s="237" t="s">
        <v>40</v>
      </c>
      <c r="B147" s="238"/>
      <c r="C147" s="35" t="s">
        <v>193</v>
      </c>
      <c r="D147" s="145" t="s">
        <v>120</v>
      </c>
      <c r="E147" s="145">
        <v>1.2</v>
      </c>
      <c r="F147" s="145">
        <v>0.6</v>
      </c>
      <c r="G147" s="38">
        <f t="shared" ref="G147:G152" si="19">F147/E147</f>
        <v>0.5</v>
      </c>
      <c r="H147" s="145"/>
    </row>
    <row r="148" spans="1:8" ht="37.5" customHeight="1" x14ac:dyDescent="0.2">
      <c r="A148" s="239"/>
      <c r="B148" s="240"/>
      <c r="C148" s="35" t="s">
        <v>194</v>
      </c>
      <c r="D148" s="145" t="s">
        <v>121</v>
      </c>
      <c r="E148" s="145">
        <v>195</v>
      </c>
      <c r="F148" s="145">
        <v>76</v>
      </c>
      <c r="G148" s="38">
        <f t="shared" si="19"/>
        <v>0.38974358974358975</v>
      </c>
      <c r="H148" s="145"/>
    </row>
    <row r="149" spans="1:8" ht="39.75" customHeight="1" x14ac:dyDescent="0.2">
      <c r="A149" s="239"/>
      <c r="B149" s="240"/>
      <c r="C149" s="35" t="s">
        <v>195</v>
      </c>
      <c r="D149" s="145" t="s">
        <v>142</v>
      </c>
      <c r="E149" s="145">
        <v>0.7</v>
      </c>
      <c r="F149" s="145">
        <v>0.2</v>
      </c>
      <c r="G149" s="38">
        <f t="shared" si="19"/>
        <v>0.28571428571428575</v>
      </c>
      <c r="H149" s="145"/>
    </row>
    <row r="150" spans="1:8" ht="48.75" customHeight="1" x14ac:dyDescent="0.2">
      <c r="A150" s="239"/>
      <c r="B150" s="240"/>
      <c r="C150" s="35" t="s">
        <v>196</v>
      </c>
      <c r="D150" s="145" t="s">
        <v>121</v>
      </c>
      <c r="E150" s="145">
        <v>10</v>
      </c>
      <c r="F150" s="44">
        <v>0</v>
      </c>
      <c r="G150" s="38">
        <f t="shared" si="19"/>
        <v>0</v>
      </c>
      <c r="H150" s="208" t="s">
        <v>338</v>
      </c>
    </row>
    <row r="151" spans="1:8" ht="48.75" customHeight="1" x14ac:dyDescent="0.2">
      <c r="A151" s="239"/>
      <c r="B151" s="240"/>
      <c r="C151" s="35" t="s">
        <v>197</v>
      </c>
      <c r="D151" s="145" t="s">
        <v>121</v>
      </c>
      <c r="E151" s="145">
        <v>10</v>
      </c>
      <c r="F151" s="145">
        <v>3</v>
      </c>
      <c r="G151" s="38">
        <f t="shared" si="19"/>
        <v>0.3</v>
      </c>
      <c r="H151" s="220"/>
    </row>
    <row r="152" spans="1:8" ht="61.5" customHeight="1" x14ac:dyDescent="0.2">
      <c r="A152" s="241"/>
      <c r="B152" s="242"/>
      <c r="C152" s="35" t="s">
        <v>198</v>
      </c>
      <c r="D152" s="145" t="s">
        <v>121</v>
      </c>
      <c r="E152" s="145">
        <v>80</v>
      </c>
      <c r="F152" s="145">
        <v>80</v>
      </c>
      <c r="G152" s="38">
        <f t="shared" si="19"/>
        <v>1</v>
      </c>
      <c r="H152" s="99"/>
    </row>
    <row r="153" spans="1:8" ht="31.5" customHeight="1" x14ac:dyDescent="0.2">
      <c r="A153" s="100">
        <v>15</v>
      </c>
      <c r="B153" s="254" t="s">
        <v>320</v>
      </c>
      <c r="C153" s="254"/>
      <c r="D153" s="254"/>
      <c r="E153" s="254"/>
      <c r="F153" s="254"/>
      <c r="G153" s="254"/>
      <c r="H153" s="243"/>
    </row>
    <row r="154" spans="1:8" ht="29.25" customHeight="1" x14ac:dyDescent="0.2">
      <c r="A154" s="243" t="s">
        <v>318</v>
      </c>
      <c r="B154" s="243"/>
      <c r="C154" s="101" t="s">
        <v>321</v>
      </c>
      <c r="D154" s="102" t="s">
        <v>120</v>
      </c>
      <c r="E154" s="102">
        <v>99</v>
      </c>
      <c r="F154" s="103">
        <v>77</v>
      </c>
      <c r="G154" s="88">
        <f t="shared" ref="G154:G157" si="20">F154/E154</f>
        <v>0.77777777777777779</v>
      </c>
      <c r="H154" s="146"/>
    </row>
    <row r="155" spans="1:8" ht="29.25" customHeight="1" x14ac:dyDescent="0.2">
      <c r="A155" s="243"/>
      <c r="B155" s="243"/>
      <c r="C155" s="101" t="s">
        <v>322</v>
      </c>
      <c r="D155" s="102" t="s">
        <v>120</v>
      </c>
      <c r="E155" s="102">
        <v>99</v>
      </c>
      <c r="F155" s="103">
        <v>67</v>
      </c>
      <c r="G155" s="88">
        <f t="shared" si="20"/>
        <v>0.6767676767676768</v>
      </c>
      <c r="H155" s="146"/>
    </row>
    <row r="156" spans="1:8" ht="29.25" customHeight="1" x14ac:dyDescent="0.2">
      <c r="A156" s="243"/>
      <c r="B156" s="243"/>
      <c r="C156" s="101" t="s">
        <v>323</v>
      </c>
      <c r="D156" s="102" t="s">
        <v>120</v>
      </c>
      <c r="E156" s="102">
        <v>99</v>
      </c>
      <c r="F156" s="103">
        <v>89</v>
      </c>
      <c r="G156" s="88">
        <f t="shared" si="20"/>
        <v>0.89898989898989901</v>
      </c>
      <c r="H156" s="146"/>
    </row>
    <row r="157" spans="1:8" ht="29.25" customHeight="1" x14ac:dyDescent="0.2">
      <c r="A157" s="243"/>
      <c r="B157" s="243"/>
      <c r="C157" s="101" t="s">
        <v>324</v>
      </c>
      <c r="D157" s="102" t="s">
        <v>293</v>
      </c>
      <c r="E157" s="102">
        <v>3</v>
      </c>
      <c r="F157" s="103">
        <v>2</v>
      </c>
      <c r="G157" s="88">
        <f t="shared" si="20"/>
        <v>0.66666666666666663</v>
      </c>
      <c r="H157" s="146"/>
    </row>
    <row r="158" spans="1:8" ht="29.25" customHeight="1" x14ac:dyDescent="0.2">
      <c r="A158" s="243"/>
      <c r="B158" s="243"/>
      <c r="C158" s="101" t="s">
        <v>325</v>
      </c>
      <c r="D158" s="102" t="s">
        <v>120</v>
      </c>
      <c r="E158" s="102">
        <v>50</v>
      </c>
      <c r="F158" s="103">
        <v>158</v>
      </c>
      <c r="G158" s="88">
        <f>F158/E158</f>
        <v>3.16</v>
      </c>
      <c r="H158" s="146"/>
    </row>
    <row r="159" spans="1:8" ht="29.25" customHeight="1" x14ac:dyDescent="0.2">
      <c r="A159" s="243"/>
      <c r="B159" s="243"/>
      <c r="C159" s="101" t="s">
        <v>326</v>
      </c>
      <c r="D159" s="102" t="s">
        <v>120</v>
      </c>
      <c r="E159" s="102">
        <v>70</v>
      </c>
      <c r="F159" s="103">
        <v>80</v>
      </c>
      <c r="G159" s="88">
        <f t="shared" ref="G159" si="21">F159/E159</f>
        <v>1.1428571428571428</v>
      </c>
      <c r="H159" s="146"/>
    </row>
    <row r="160" spans="1:8" ht="29.25" customHeight="1" x14ac:dyDescent="0.2">
      <c r="A160" s="243"/>
      <c r="B160" s="243"/>
      <c r="C160" s="101" t="s">
        <v>327</v>
      </c>
      <c r="D160" s="102" t="s">
        <v>120</v>
      </c>
      <c r="E160" s="102">
        <v>60</v>
      </c>
      <c r="F160" s="103">
        <v>57</v>
      </c>
      <c r="G160" s="88">
        <v>0.95</v>
      </c>
      <c r="H160" s="146"/>
    </row>
    <row r="161" spans="1:8" ht="29.25" customHeight="1" x14ac:dyDescent="0.2">
      <c r="A161" s="243"/>
      <c r="B161" s="243"/>
      <c r="C161" s="101" t="s">
        <v>328</v>
      </c>
      <c r="D161" s="102" t="s">
        <v>120</v>
      </c>
      <c r="E161" s="102">
        <v>50</v>
      </c>
      <c r="F161" s="103">
        <v>87</v>
      </c>
      <c r="G161" s="88">
        <v>0.87</v>
      </c>
      <c r="H161" s="146"/>
    </row>
    <row r="162" spans="1:8" ht="29.25" customHeight="1" x14ac:dyDescent="0.2">
      <c r="A162" s="243"/>
      <c r="B162" s="243"/>
      <c r="C162" s="101" t="s">
        <v>329</v>
      </c>
      <c r="D162" s="102" t="s">
        <v>293</v>
      </c>
      <c r="E162" s="102">
        <v>100</v>
      </c>
      <c r="F162" s="103">
        <v>100</v>
      </c>
      <c r="G162" s="88">
        <v>1</v>
      </c>
      <c r="H162" s="146"/>
    </row>
    <row r="163" spans="1:8" ht="45.75" customHeight="1" x14ac:dyDescent="0.2">
      <c r="A163" s="243"/>
      <c r="B163" s="243"/>
      <c r="C163" s="104" t="s">
        <v>330</v>
      </c>
      <c r="D163" s="102" t="s">
        <v>293</v>
      </c>
      <c r="E163" s="102">
        <v>4</v>
      </c>
      <c r="F163" s="103">
        <v>4</v>
      </c>
      <c r="G163" s="88">
        <v>1</v>
      </c>
      <c r="H163" s="105"/>
    </row>
    <row r="164" spans="1:8" ht="31.5" customHeight="1" x14ac:dyDescent="0.2">
      <c r="A164" s="100">
        <v>16</v>
      </c>
      <c r="B164" s="254" t="s">
        <v>343</v>
      </c>
      <c r="C164" s="254"/>
      <c r="D164" s="254"/>
      <c r="E164" s="254"/>
      <c r="F164" s="254"/>
      <c r="G164" s="254"/>
      <c r="H164" s="243"/>
    </row>
    <row r="165" spans="1:8" ht="140.25" customHeight="1" x14ac:dyDescent="0.2">
      <c r="A165" s="243" t="s">
        <v>390</v>
      </c>
      <c r="B165" s="243"/>
      <c r="C165" s="101" t="s">
        <v>346</v>
      </c>
      <c r="D165" s="102" t="s">
        <v>293</v>
      </c>
      <c r="E165" s="102">
        <v>1000</v>
      </c>
      <c r="F165" s="106">
        <v>1000</v>
      </c>
      <c r="G165" s="107">
        <f t="shared" ref="G165" si="22">F165/E165</f>
        <v>1</v>
      </c>
      <c r="H165" s="146"/>
    </row>
    <row r="166" spans="1:8" ht="31.5" customHeight="1" x14ac:dyDescent="0.2">
      <c r="A166" s="100">
        <v>17</v>
      </c>
      <c r="B166" s="254" t="s">
        <v>344</v>
      </c>
      <c r="C166" s="254"/>
      <c r="D166" s="254"/>
      <c r="E166" s="254"/>
      <c r="F166" s="254"/>
      <c r="G166" s="254"/>
      <c r="H166" s="243"/>
    </row>
    <row r="167" spans="1:8" ht="48" customHeight="1" x14ac:dyDescent="0.2">
      <c r="A167" s="243" t="s">
        <v>345</v>
      </c>
      <c r="B167" s="243"/>
      <c r="C167" s="101" t="s">
        <v>347</v>
      </c>
      <c r="D167" s="102" t="s">
        <v>293</v>
      </c>
      <c r="E167" s="102">
        <v>10</v>
      </c>
      <c r="F167" s="103">
        <v>10</v>
      </c>
      <c r="G167" s="88">
        <f t="shared" ref="G167" si="23">F167/E167</f>
        <v>1</v>
      </c>
      <c r="H167" s="146"/>
    </row>
  </sheetData>
  <mergeCells count="66">
    <mergeCell ref="B164:H164"/>
    <mergeCell ref="A165:B165"/>
    <mergeCell ref="B166:H166"/>
    <mergeCell ref="A167:B167"/>
    <mergeCell ref="B153:H153"/>
    <mergeCell ref="A154:B163"/>
    <mergeCell ref="B2:H2"/>
    <mergeCell ref="B5:H5"/>
    <mergeCell ref="A10:B19"/>
    <mergeCell ref="A6:B9"/>
    <mergeCell ref="B27:H27"/>
    <mergeCell ref="A34:B41"/>
    <mergeCell ref="A32:B33"/>
    <mergeCell ref="A28:B30"/>
    <mergeCell ref="A23:B26"/>
    <mergeCell ref="A20:B22"/>
    <mergeCell ref="A31:B31"/>
    <mergeCell ref="B116:B117"/>
    <mergeCell ref="A42:B44"/>
    <mergeCell ref="B53:H53"/>
    <mergeCell ref="B55:H55"/>
    <mergeCell ref="B74:H74"/>
    <mergeCell ref="B45:H45"/>
    <mergeCell ref="A49:B52"/>
    <mergeCell ref="A46:B48"/>
    <mergeCell ref="A63:B65"/>
    <mergeCell ref="A59:B62"/>
    <mergeCell ref="A56:B58"/>
    <mergeCell ref="A54:B54"/>
    <mergeCell ref="A69:B70"/>
    <mergeCell ref="A71:B73"/>
    <mergeCell ref="A100:B100"/>
    <mergeCell ref="A96:B98"/>
    <mergeCell ref="A110:B110"/>
    <mergeCell ref="A101:B105"/>
    <mergeCell ref="B92:H92"/>
    <mergeCell ref="A107:B109"/>
    <mergeCell ref="B106:H106"/>
    <mergeCell ref="A81:B86"/>
    <mergeCell ref="A66:B68"/>
    <mergeCell ref="A87:B89"/>
    <mergeCell ref="A75:B80"/>
    <mergeCell ref="B99:H99"/>
    <mergeCell ref="A93:B95"/>
    <mergeCell ref="A90:B91"/>
    <mergeCell ref="A113:B113"/>
    <mergeCell ref="A111:B111"/>
    <mergeCell ref="B142:H142"/>
    <mergeCell ref="H144:H145"/>
    <mergeCell ref="A132:B133"/>
    <mergeCell ref="A143:B145"/>
    <mergeCell ref="A138:B141"/>
    <mergeCell ref="A134:B137"/>
    <mergeCell ref="B131:H131"/>
    <mergeCell ref="B120:H120"/>
    <mergeCell ref="A129:B130"/>
    <mergeCell ref="A126:B128"/>
    <mergeCell ref="A124:B125"/>
    <mergeCell ref="A121:B123"/>
    <mergeCell ref="B112:H112"/>
    <mergeCell ref="B114:B115"/>
    <mergeCell ref="A147:B152"/>
    <mergeCell ref="A119:B119"/>
    <mergeCell ref="A118:B118"/>
    <mergeCell ref="B146:H146"/>
    <mergeCell ref="H150:H151"/>
  </mergeCells>
  <pageMargins left="0.7" right="0.7" top="0.75" bottom="0.75" header="0.3" footer="0.3"/>
  <pageSetup paperSize="9" scale="46" orientation="portrait" r:id="rId1"/>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Приложение 1</vt:lpstr>
      <vt:lpstr>Приложение 2</vt:lpstr>
      <vt:lpstr>Приложение 3</vt:lpstr>
      <vt:lpstr>'Приложение 2'!Заголовки_для_печати</vt:lpstr>
      <vt:lpstr>'Приложение 2'!Область_печати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Ноздрина Лидия Александровна</dc:creator>
  <cp:lastModifiedBy>Кудряшова Ирина Владимировна</cp:lastModifiedBy>
  <cp:lastPrinted>2020-03-10T08:52:06Z</cp:lastPrinted>
  <dcterms:created xsi:type="dcterms:W3CDTF">2016-03-10T03:55:01Z</dcterms:created>
  <dcterms:modified xsi:type="dcterms:W3CDTF">2020-03-10T08:59:15Z</dcterms:modified>
</cp:coreProperties>
</file>